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FEFEDD4C-3CA5-4C0D-8CC5-927B932C6038}" xr6:coauthVersionLast="47" xr6:coauthVersionMax="47" xr10:uidLastSave="{00000000-0000-0000-0000-000000000000}"/>
  <workbookProtection workbookPassword="2288" lockStructure="1"/>
  <bookViews>
    <workbookView xWindow="-108" yWindow="-108" windowWidth="30936" windowHeight="16776" tabRatio="500" xr2:uid="{00000000-000D-0000-FFFF-FFFF00000000}"/>
  </bookViews>
  <sheets>
    <sheet name="About" sheetId="1" r:id="rId1"/>
    <sheet name="EFS" sheetId="2" r:id="rId2"/>
    <sheet name="EFS_Params" sheetId="3" state="veryHidden" r:id="rId3"/>
  </sheets>
  <definedNames>
    <definedName name="_xlnm.Print_Area" localSheetId="1">EFS!$A$1:$U$34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7" i="3" l="1"/>
  <c r="W4" i="2" s="1"/>
  <c r="A24" i="2"/>
  <c r="W14" i="2"/>
  <c r="W12" i="2"/>
  <c r="A11" i="2"/>
  <c r="W10" i="2"/>
  <c r="W8" i="2"/>
  <c r="W6" i="2"/>
  <c r="W2" i="2"/>
  <c r="I21" i="2" l="1"/>
  <c r="J21" i="2"/>
  <c r="K21" i="2"/>
  <c r="L21" i="2"/>
  <c r="M21" i="2"/>
  <c r="N21" i="2"/>
  <c r="O21" i="2"/>
  <c r="P21" i="2"/>
  <c r="Q21" i="2"/>
  <c r="R21" i="2"/>
  <c r="S21" i="2"/>
  <c r="T21" i="2"/>
  <c r="U21" i="2"/>
  <c r="B27" i="2"/>
  <c r="D27" i="2"/>
  <c r="F27" i="2"/>
  <c r="H27" i="2"/>
  <c r="K27" i="2"/>
  <c r="L27" i="2"/>
  <c r="M27" i="2"/>
  <c r="N27" i="2"/>
  <c r="O27" i="2"/>
  <c r="P27" i="2"/>
  <c r="Q27" i="2"/>
  <c r="R27" i="2"/>
  <c r="S27" i="2"/>
  <c r="T27" i="2"/>
  <c r="U27" i="2"/>
  <c r="B28" i="2"/>
  <c r="C28" i="2"/>
  <c r="D28" i="2"/>
  <c r="E28" i="2"/>
  <c r="F28" i="2"/>
  <c r="G28" i="2"/>
  <c r="H28" i="2"/>
  <c r="I28" i="2"/>
  <c r="J28" i="2"/>
  <c r="K28" i="2"/>
  <c r="L28" i="2"/>
  <c r="C27" i="2"/>
  <c r="E27" i="2"/>
  <c r="G27" i="2"/>
  <c r="I27" i="2"/>
  <c r="J27" i="2"/>
  <c r="M28" i="2"/>
  <c r="N28" i="2"/>
  <c r="O28" i="2"/>
  <c r="P28" i="2"/>
  <c r="Q28" i="2"/>
  <c r="R28" i="2"/>
  <c r="S28" i="2"/>
  <c r="T28" i="2"/>
  <c r="U28" i="2"/>
  <c r="B29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B30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B31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B14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B15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T14" i="2"/>
  <c r="U14" i="2"/>
  <c r="S15" i="2"/>
  <c r="T15" i="2"/>
  <c r="U15" i="2"/>
  <c r="B16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S14" i="2"/>
  <c r="B17" i="2"/>
  <c r="E17" i="2"/>
  <c r="G17" i="2"/>
  <c r="J17" i="2"/>
  <c r="L17" i="2"/>
  <c r="N17" i="2"/>
  <c r="Q17" i="2"/>
  <c r="S17" i="2"/>
  <c r="T17" i="2"/>
  <c r="U17" i="2"/>
  <c r="B18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B19" i="2"/>
  <c r="C19" i="2"/>
  <c r="D19" i="2"/>
  <c r="R14" i="2"/>
  <c r="U16" i="2"/>
  <c r="C17" i="2"/>
  <c r="F17" i="2"/>
  <c r="I17" i="2"/>
  <c r="O17" i="2"/>
  <c r="R17" i="2"/>
  <c r="F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B20" i="2"/>
  <c r="C20" i="2"/>
  <c r="D20" i="2"/>
  <c r="E20" i="2"/>
  <c r="F20" i="2"/>
  <c r="D17" i="2"/>
  <c r="H17" i="2"/>
  <c r="K17" i="2"/>
  <c r="M17" i="2"/>
  <c r="P17" i="2"/>
  <c r="E19" i="2"/>
  <c r="G19" i="2"/>
  <c r="H19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B21" i="2"/>
  <c r="C21" i="2"/>
  <c r="D21" i="2"/>
  <c r="E21" i="2"/>
  <c r="F21" i="2"/>
  <c r="G21" i="2"/>
  <c r="H21" i="2"/>
  <c r="S31" i="2"/>
  <c r="T31" i="2"/>
  <c r="U31" i="2"/>
  <c r="B32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B33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</calcChain>
</file>

<file path=xl/sharedStrings.xml><?xml version="1.0" encoding="utf-8"?>
<sst xmlns="http://schemas.openxmlformats.org/spreadsheetml/2006/main" count="197" uniqueCount="126">
  <si>
    <t>MOA Pay Predictor 2026 v1.0</t>
  </si>
  <si>
    <t>Michael Oak Advisors</t>
  </si>
  <si>
    <t>Publisher</t>
  </si>
  <si>
    <t>Title</t>
  </si>
  <si>
    <t>Dataset</t>
  </si>
  <si>
    <t>Compensation model for investment office roles at endowments and foundations: base salary, target, realized and maximum total compensation by role, level, assets, complexity and location</t>
  </si>
  <si>
    <t>Vintage</t>
  </si>
  <si>
    <t>30 June 2026</t>
  </si>
  <si>
    <t>Source</t>
  </si>
  <si>
    <t>Michael Oak Advisors model, calibrated to IRS Form 990 disclosures and published job-posting ranges. The underlying 990 records are published at data.michaeloak.com/990</t>
  </si>
  <si>
    <t>Records</t>
  </si>
  <si>
    <t>Model workbook, one calculator: Endowment &amp; Foundation. Enter assets, complexity, location, incentive pool adjustment and operations pay authority; the sheet returns base, target, realized and maximum total compensation for eight investment levels and seven operations levels, at five percentiles.</t>
  </si>
  <si>
    <t>Sheets</t>
  </si>
  <si>
    <t>EFS</t>
  </si>
  <si>
    <t>Next refresh</t>
  </si>
  <si>
    <t>Not scheduled: a model, not a dataset. Estimates are as of 30 June 2026, aged at 4% a year; a new model version replaces this file.</t>
  </si>
  <si>
    <t>Methodology</t>
  </si>
  <si>
    <t>https://data.michaeloak.com/pay-predictor/methodology/</t>
  </si>
  <si>
    <t>Page</t>
  </si>
  <si>
    <t>https://data.michaeloak.com/pay-predictor/</t>
  </si>
  <si>
    <t>Scope</t>
  </si>
  <si>
    <t>This workbook publishes the Endowment &amp; Foundation calculator only. The model covers other institutional segments, which are reported on their own pages at data.michaeloak.com rather than in this file.</t>
  </si>
  <si>
    <t>Parameters</t>
  </si>
  <si>
    <t>The model's parameter sheet is very hidden and protected so the calculator cannot be altered by accident. It is hidden, not secret: the same coefficients are published as coefficients.json on the Pay Predictor page, which runs the identical engine.</t>
  </si>
  <si>
    <t>Caution</t>
  </si>
  <si>
    <t>Directional estimates from a statistical model, not a survey and not a compensation recommendation. Every figure is an estimate.</t>
  </si>
  <si>
    <t>Terms</t>
  </si>
  <si>
    <t>Free to use and cite with attribution to Michael Oak Advisors (data.michaeloak.com). Provided as is, without warranty; not investment, legal or tax advice.</t>
  </si>
  <si>
    <t>Contact</t>
  </si>
  <si>
    <t>https://michaeloak.com</t>
  </si>
  <si>
    <t>Michael Oak Advisors — Contact Us</t>
  </si>
  <si>
    <t>GeoMult</t>
  </si>
  <si>
    <t>Pay Predictor — Endowment &amp; Foundation Compensation Model</t>
  </si>
  <si>
    <t>AgingMult</t>
  </si>
  <si>
    <t>Directional estimate only. Pay Predictor estimates are derived from statistical models of publicly available data and are intended for general reference purposes only. They are not a substitute for professionally administered industry compensation surveys. No client data was used in their development or validation. Estimates as of 30 June 2026, aged at 4% a year.</t>
  </si>
  <si>
    <t>BaseTilt</t>
  </si>
  <si>
    <t>AUM ($B)</t>
  </si>
  <si>
    <t>Market Location</t>
  </si>
  <si>
    <t>Complexity (1-5)</t>
  </si>
  <si>
    <t>Pool Adj (%)</t>
  </si>
  <si>
    <t>Ops Pay Authority</t>
  </si>
  <si>
    <t>IncTilt</t>
  </si>
  <si>
    <t>National Average</t>
  </si>
  <si>
    <t>Some</t>
  </si>
  <si>
    <t>$1B to $50B</t>
  </si>
  <si>
    <t>National Average recommended (roughly a Chicago cost of labor)</t>
  </si>
  <si>
    <t>1 = least complex, 3 = average complexity, 5 = most complex</t>
  </si>
  <si>
    <t>Change to incentive pool</t>
  </si>
  <si>
    <t>None / Some / Full</t>
  </si>
  <si>
    <t>EarnedUplift</t>
  </si>
  <si>
    <t>MaxMult</t>
  </si>
  <si>
    <t>Base Salary Only</t>
  </si>
  <si>
    <t>Base + Target Incentive</t>
  </si>
  <si>
    <t>Base + Realized (LFY)</t>
  </si>
  <si>
    <t>Base + Maximum Incentive</t>
  </si>
  <si>
    <t>Level</t>
  </si>
  <si>
    <t>P10</t>
  </si>
  <si>
    <t>P25</t>
  </si>
  <si>
    <t>P50</t>
  </si>
  <si>
    <t>P75</t>
  </si>
  <si>
    <t>P90</t>
  </si>
  <si>
    <t>Spread</t>
  </si>
  <si>
    <t>Analyst</t>
  </si>
  <si>
    <t>Sr. Analyst</t>
  </si>
  <si>
    <t>Associate</t>
  </si>
  <si>
    <t>Sr. Assoc / Manager</t>
  </si>
  <si>
    <t>Director / Sr. Mgr</t>
  </si>
  <si>
    <t>MD</t>
  </si>
  <si>
    <t>Sr. MD / Deputy CIO †</t>
  </si>
  <si>
    <t>CIO</t>
  </si>
  <si>
    <t>† L7 (Deputy CIO) interpolated between L6 and L8; no direct empirical data.</t>
  </si>
  <si>
    <t>Ops Analyst</t>
  </si>
  <si>
    <t>Sr. Ops Analyst</t>
  </si>
  <si>
    <t>Ops Associate</t>
  </si>
  <si>
    <t>Sr. Ops Assoc / Manager</t>
  </si>
  <si>
    <t>Ops Director / Sr. Mgr</t>
  </si>
  <si>
    <t>CFO / CLO / Head of IT</t>
  </si>
  <si>
    <t>COO</t>
  </si>
  <si>
    <t>© 2026 Michael Oak Advisors, LLC  |  www.michaeloak.com</t>
  </si>
  <si>
    <t>LOCATION DATA</t>
  </si>
  <si>
    <t>Location</t>
  </si>
  <si>
    <t>Multiplier</t>
  </si>
  <si>
    <t>New York City</t>
  </si>
  <si>
    <t>San Francisco</t>
  </si>
  <si>
    <t>Boston</t>
  </si>
  <si>
    <t>Washington DC</t>
  </si>
  <si>
    <t>Dallas/Atlanta</t>
  </si>
  <si>
    <t>LEVEL PARAMETERS (v1.3.3 per-level opportunity-curve engine)</t>
  </si>
  <si>
    <t>GeoDamp</t>
  </si>
  <si>
    <t>base_a</t>
  </si>
  <si>
    <t>base_b</t>
  </si>
  <si>
    <t>lev_a</t>
  </si>
  <si>
    <t>lev_b</t>
  </si>
  <si>
    <t>Floor</t>
  </si>
  <si>
    <t>OpsLevel_None</t>
  </si>
  <si>
    <t>OpsLevel_Some</t>
  </si>
  <si>
    <t>OpsLevel_Full</t>
  </si>
  <si>
    <t>L1</t>
  </si>
  <si>
    <t>L2</t>
  </si>
  <si>
    <t>L3</t>
  </si>
  <si>
    <t>L4</t>
  </si>
  <si>
    <t>L5</t>
  </si>
  <si>
    <t>L6</t>
  </si>
  <si>
    <t>L7</t>
  </si>
  <si>
    <t>Sr. MD / Deputy CIO</t>
  </si>
  <si>
    <t>L8</t>
  </si>
  <si>
    <t>COMPLEXITY TILTS</t>
  </si>
  <si>
    <t>Complexity</t>
  </si>
  <si>
    <t>CONSTANTS</t>
  </si>
  <si>
    <t>Aging Multiplier</t>
  </si>
  <si>
    <t>Spread Factor</t>
  </si>
  <si>
    <t>Z-SCORES</t>
  </si>
  <si>
    <t>MAX PAYOUT MULTIPLIER</t>
  </si>
  <si>
    <t>max_payout_mult</t>
  </si>
  <si>
    <t>EARNED UPLIFT (on incentive portion only; linear in log AUM between the knots)</t>
  </si>
  <si>
    <t>Parameter</t>
  </si>
  <si>
    <t>Value</t>
  </si>
  <si>
    <t>Lower knot, AUM ($B)</t>
  </si>
  <si>
    <t>Uplift at and below the lower knot</t>
  </si>
  <si>
    <t>Upper knot, AUM ($B)</t>
  </si>
  <si>
    <t>Uplift at and above the upper knot</t>
  </si>
  <si>
    <t>OPS TARGET LEVERAGE BY PAY AUTHORITY (at $50B; lev_b = 0.35)</t>
  </si>
  <si>
    <t>None</t>
  </si>
  <si>
    <t>Full</t>
  </si>
  <si>
    <t>Ops lev_b</t>
  </si>
  <si>
    <t>PAY AUTHORITY (selector)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</si>
</sst>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\$#,##0"/>
  </numFmts>
  <fonts count="30" x14ac:knownFonts="1"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u/>
      <sz val="11"/>
      <color rgb="FFFFFFFF"/>
      <name val="Calibri"/>
      <charset val="1"/>
    </font>
    <font>
      <sz val="10"/>
      <color rgb="FF999999"/>
      <name val="Calibri"/>
      <family val="2"/>
      <charset val="1"/>
    </font>
    <font>
      <b/>
      <sz val="10"/>
      <color rgb="FFD4AF37"/>
      <name val="Calibri"/>
      <charset val="1"/>
    </font>
    <font>
      <sz val="10"/>
      <name val="Calibri"/>
      <charset val="1"/>
    </font>
    <font>
      <sz val="7.5"/>
      <color rgb="FF6E7C8C"/>
      <name val="Calibri"/>
      <charset val="1"/>
    </font>
    <font>
      <sz val="8"/>
      <color rgb="FF8B96A3"/>
      <name val="Calibri"/>
      <charset val="1"/>
    </font>
    <font>
      <b/>
      <sz val="10"/>
      <color rgb="FF3B5181"/>
      <name val="Calibri"/>
      <charset val="1"/>
    </font>
    <font>
      <sz val="10"/>
      <color theme="4"/>
      <name val="Calibri"/>
      <family val="2"/>
      <charset val="1"/>
    </font>
    <font>
      <b/>
      <sz val="10"/>
      <color rgb="FF0B2662"/>
      <name val="Calibri"/>
      <charset val="1"/>
    </font>
    <font>
      <sz val="8.5"/>
      <color rgb="FF6E7C8C"/>
      <name val="Calibri"/>
      <charset val="1"/>
    </font>
    <font>
      <b/>
      <sz val="8"/>
      <color theme="1"/>
      <name val="Calibri"/>
      <family val="2"/>
      <charset val="1"/>
    </font>
    <font>
      <b/>
      <sz val="10.5"/>
      <color rgb="FF0B2662"/>
      <name val="Calibri"/>
      <charset val="1"/>
    </font>
    <font>
      <b/>
      <sz val="9.5"/>
      <color rgb="FFFFFFFF"/>
      <name val="Calibri"/>
      <charset val="1"/>
    </font>
    <font>
      <b/>
      <sz val="10"/>
      <color rgb="FFFFFFFF"/>
      <name val="Calibri"/>
      <charset val="1"/>
    </font>
    <font>
      <sz val="10"/>
      <color rgb="FF333333"/>
      <name val="Calibri"/>
      <charset val="1"/>
    </font>
    <font>
      <b/>
      <sz val="10"/>
      <color rgb="FF333333"/>
      <name val="Calibri"/>
      <charset val="1"/>
    </font>
    <font>
      <i/>
      <sz val="8"/>
      <color rgb="FF666666"/>
      <name val="Calibri"/>
      <charset val="1"/>
    </font>
    <font>
      <i/>
      <u/>
      <sz val="8"/>
      <color rgb="FF3B5181"/>
      <name val="Calibri"/>
      <charset val="1"/>
    </font>
    <font>
      <sz val="11"/>
      <color theme="0"/>
      <name val="Calibri"/>
      <family val="2"/>
      <charset val="1"/>
    </font>
    <font>
      <sz val="9.5"/>
      <color rgb="FF0B2662"/>
      <name val="Calibri"/>
      <charset val="1"/>
    </font>
    <font>
      <sz val="9.5"/>
      <color rgb="FF333333"/>
      <name val="Calibri"/>
      <charset val="1"/>
    </font>
    <font>
      <b/>
      <sz val="9"/>
      <color rgb="FF333333"/>
      <name val="Calibri"/>
      <charset val="1"/>
    </font>
    <font>
      <sz val="9"/>
      <color rgb="FF333333"/>
      <name val="Calibri"/>
      <charset val="1"/>
    </font>
    <font>
      <b/>
      <sz val="11"/>
      <name val="Calibri"/>
      <charset val="1"/>
    </font>
    <font>
      <b/>
      <sz val="16"/>
      <color rgb="FF0B2662"/>
      <name val="Calibri"/>
    </font>
    <font>
      <i/>
      <sz val="11"/>
      <color rgb="FF5A6472"/>
      <name val="Calibri"/>
    </font>
    <font>
      <b/>
      <sz val="11"/>
      <color rgb="FF0B2662"/>
      <name val="Calibri"/>
    </font>
    <font>
      <u/>
      <sz val="11"/>
      <color rgb="FF0563C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B2662"/>
        <bgColor rgb="FF1B3050"/>
      </patternFill>
    </fill>
    <fill>
      <patternFill patternType="solid">
        <fgColor rgb="FFD4AF37"/>
        <bgColor rgb="FFB8964C"/>
      </patternFill>
    </fill>
    <fill>
      <patternFill patternType="solid">
        <fgColor rgb="FFFFFFFF"/>
        <bgColor rgb="FFFFFFF5"/>
      </patternFill>
    </fill>
    <fill>
      <patternFill patternType="solid">
        <fgColor rgb="FFFFFFF5"/>
        <bgColor rgb="FFFFFFFF"/>
      </patternFill>
    </fill>
    <fill>
      <patternFill patternType="solid">
        <fgColor rgb="FFEEF0F4"/>
        <bgColor rgb="FFF5F3ED"/>
      </patternFill>
    </fill>
    <fill>
      <patternFill patternType="solid">
        <fgColor rgb="FF3B5181"/>
        <bgColor rgb="FF666666"/>
      </patternFill>
    </fill>
    <fill>
      <patternFill patternType="solid">
        <fgColor rgb="FF6C7CA0"/>
        <bgColor rgb="FF6E7C8C"/>
      </patternFill>
    </fill>
    <fill>
      <patternFill patternType="solid">
        <fgColor rgb="FFF7F8FA"/>
        <bgColor rgb="FFF8FAFC"/>
      </patternFill>
    </fill>
    <fill>
      <patternFill patternType="solid">
        <fgColor rgb="FFF5F3ED"/>
        <bgColor rgb="FFF9F5EC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4AF37"/>
      </bottom>
      <diagonal/>
    </border>
    <border>
      <left style="thin">
        <color rgb="FFC0C6CF"/>
      </left>
      <right style="thin">
        <color rgb="FFC0C6CF"/>
      </right>
      <top style="thin">
        <color rgb="FFC0C6CF"/>
      </top>
      <bottom style="thin">
        <color rgb="FFC0C6CF"/>
      </bottom>
      <diagonal/>
    </border>
    <border>
      <left/>
      <right/>
      <top/>
      <bottom style="medium">
        <color rgb="FFB8964C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/>
      <top/>
      <bottom style="thin">
        <color rgb="FFFFFFFF"/>
      </bottom>
      <diagonal/>
    </border>
    <border>
      <left style="medium">
        <color rgb="FFFFFFFF"/>
      </left>
      <right/>
      <top/>
      <bottom style="thin">
        <color rgb="FFD4AF37"/>
      </bottom>
      <diagonal/>
    </border>
    <border>
      <left style="thin">
        <color rgb="FFFFFFFF"/>
      </left>
      <right/>
      <top/>
      <bottom style="thin">
        <color rgb="FFD4AF37"/>
      </bottom>
      <diagonal/>
    </border>
    <border>
      <left/>
      <right/>
      <top/>
      <bottom style="hair">
        <color rgb="FFC0C6CF"/>
      </bottom>
      <diagonal/>
    </border>
    <border>
      <left style="thin">
        <color rgb="FFC0C6CF"/>
      </left>
      <right/>
      <top/>
      <bottom style="hair">
        <color rgb="FFC0C6CF"/>
      </bottom>
      <diagonal/>
    </border>
    <border>
      <left/>
      <right/>
      <top style="thin">
        <color rgb="FFC0C6CF"/>
      </top>
      <bottom/>
      <diagonal/>
    </border>
    <border>
      <left style="thin">
        <color rgb="FFC0C6CF"/>
      </left>
      <right/>
      <top style="thin">
        <color rgb="FFC0C6CF"/>
      </top>
      <bottom/>
      <diagonal/>
    </border>
    <border>
      <left/>
      <right/>
      <top style="thin">
        <color rgb="FFC0C6CF"/>
      </top>
      <bottom style="thin">
        <color rgb="FFC0C6CF"/>
      </bottom>
      <diagonal/>
    </border>
    <border>
      <left/>
      <right style="thin">
        <color rgb="FFC0C6CF"/>
      </right>
      <top style="thin">
        <color rgb="FFC0C6CF"/>
      </top>
      <bottom style="thin">
        <color rgb="FFC0C6CF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1" fontId="10" fillId="5" borderId="2" xfId="0" applyNumberFormat="1" applyFont="1" applyFill="1" applyBorder="1" applyAlignment="1" applyProtection="1">
      <alignment horizontal="center" vertical="center"/>
      <protection locked="0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0" fontId="13" fillId="6" borderId="0" xfId="0" applyFont="1" applyFill="1" applyAlignment="1" applyProtection="1">
      <alignment horizontal="left" vertical="center"/>
      <protection locked="0"/>
    </xf>
    <xf numFmtId="0" fontId="20" fillId="0" borderId="0" xfId="0" applyFont="1"/>
    <xf numFmtId="0" fontId="15" fillId="7" borderId="1" xfId="0" applyFont="1" applyFill="1" applyBorder="1" applyAlignment="1" applyProtection="1">
      <alignment horizontal="left" vertical="center"/>
      <protection locked="0"/>
    </xf>
    <xf numFmtId="0" fontId="15" fillId="7" borderId="1" xfId="0" applyFont="1" applyFill="1" applyBorder="1" applyAlignment="1" applyProtection="1">
      <alignment horizontal="center" vertical="center"/>
      <protection locked="0"/>
    </xf>
    <xf numFmtId="0" fontId="21" fillId="4" borderId="9" xfId="0" applyFont="1" applyFill="1" applyBorder="1" applyAlignment="1" applyProtection="1">
      <alignment horizontal="left" vertical="center"/>
      <protection locked="0"/>
    </xf>
    <xf numFmtId="2" fontId="22" fillId="4" borderId="9" xfId="0" applyNumberFormat="1" applyFont="1" applyFill="1" applyBorder="1" applyAlignment="1" applyProtection="1">
      <alignment horizontal="right" vertical="center"/>
      <protection locked="0"/>
    </xf>
    <xf numFmtId="0" fontId="20" fillId="0" borderId="0" xfId="0" applyFont="1" applyProtection="1">
      <protection locked="0"/>
    </xf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22" fillId="4" borderId="9" xfId="0" applyFont="1" applyFill="1" applyBorder="1" applyAlignment="1" applyProtection="1">
      <alignment horizontal="right" vertical="center"/>
      <protection locked="0"/>
    </xf>
    <xf numFmtId="0" fontId="13" fillId="0" borderId="0" xfId="0" applyFont="1"/>
    <xf numFmtId="0" fontId="23" fillId="0" borderId="0" xfId="0" applyFont="1"/>
    <xf numFmtId="2" fontId="24" fillId="0" borderId="0" xfId="0" applyNumberFormat="1" applyFont="1"/>
    <xf numFmtId="0" fontId="13" fillId="6" borderId="0" xfId="0" applyFont="1" applyFill="1"/>
    <xf numFmtId="9" fontId="0" fillId="0" borderId="0" xfId="0" applyNumberFormat="1"/>
    <xf numFmtId="0" fontId="3" fillId="0" borderId="0" xfId="0" applyFont="1"/>
    <xf numFmtId="0" fontId="1" fillId="3" borderId="0" xfId="0" applyFont="1" applyFill="1"/>
    <xf numFmtId="0" fontId="1" fillId="4" borderId="0" xfId="0" applyFont="1" applyFill="1"/>
    <xf numFmtId="0" fontId="5" fillId="4" borderId="0" xfId="0" applyFont="1" applyFill="1" applyAlignment="1">
      <alignment horizontal="right" vertical="center"/>
    </xf>
    <xf numFmtId="2" fontId="3" fillId="0" borderId="0" xfId="0" applyNumberFormat="1" applyFont="1"/>
    <xf numFmtId="0" fontId="7" fillId="0" borderId="0" xfId="0" applyFont="1"/>
    <xf numFmtId="0" fontId="8" fillId="4" borderId="0" xfId="0" applyFont="1" applyFill="1" applyAlignment="1">
      <alignment horizontal="center" vertical="center"/>
    </xf>
    <xf numFmtId="0" fontId="9" fillId="4" borderId="0" xfId="0" applyFont="1" applyFill="1"/>
    <xf numFmtId="0" fontId="11" fillId="4" borderId="0" xfId="0" applyFont="1" applyFill="1" applyAlignment="1">
      <alignment horizontal="left" vertical="center"/>
    </xf>
    <xf numFmtId="0" fontId="12" fillId="4" borderId="0" xfId="0" applyFont="1" applyFill="1"/>
    <xf numFmtId="0" fontId="14" fillId="7" borderId="4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left" vertical="center"/>
    </xf>
    <xf numFmtId="165" fontId="16" fillId="9" borderId="10" xfId="0" applyNumberFormat="1" applyFont="1" applyFill="1" applyBorder="1" applyAlignment="1">
      <alignment horizontal="right" vertical="center"/>
    </xf>
    <xf numFmtId="165" fontId="16" fillId="9" borderId="9" xfId="0" applyNumberFormat="1" applyFont="1" applyFill="1" applyBorder="1" applyAlignment="1">
      <alignment horizontal="right" vertical="center"/>
    </xf>
    <xf numFmtId="165" fontId="17" fillId="10" borderId="9" xfId="0" applyNumberFormat="1" applyFont="1" applyFill="1" applyBorder="1" applyAlignment="1">
      <alignment horizontal="right" vertical="center"/>
    </xf>
    <xf numFmtId="2" fontId="1" fillId="0" borderId="0" xfId="0" applyNumberFormat="1" applyFont="1"/>
    <xf numFmtId="0" fontId="10" fillId="4" borderId="9" xfId="0" applyFont="1" applyFill="1" applyBorder="1" applyAlignment="1">
      <alignment horizontal="left" vertical="center"/>
    </xf>
    <xf numFmtId="165" fontId="16" fillId="4" borderId="10" xfId="0" applyNumberFormat="1" applyFont="1" applyFill="1" applyBorder="1" applyAlignment="1">
      <alignment horizontal="right" vertical="center"/>
    </xf>
    <xf numFmtId="165" fontId="16" fillId="4" borderId="9" xfId="0" applyNumberFormat="1" applyFont="1" applyFill="1" applyBorder="1" applyAlignment="1">
      <alignment horizontal="right" vertical="center"/>
    </xf>
    <xf numFmtId="0" fontId="10" fillId="4" borderId="11" xfId="0" applyFont="1" applyFill="1" applyBorder="1" applyAlignment="1">
      <alignment horizontal="left" vertical="center"/>
    </xf>
    <xf numFmtId="165" fontId="16" fillId="4" borderId="12" xfId="0" applyNumberFormat="1" applyFont="1" applyFill="1" applyBorder="1" applyAlignment="1">
      <alignment horizontal="right" vertical="center"/>
    </xf>
    <xf numFmtId="165" fontId="16" fillId="4" borderId="11" xfId="0" applyNumberFormat="1" applyFont="1" applyFill="1" applyBorder="1" applyAlignment="1">
      <alignment horizontal="right" vertical="center"/>
    </xf>
    <xf numFmtId="165" fontId="17" fillId="10" borderId="11" xfId="0" applyNumberFormat="1" applyFont="1" applyFill="1" applyBorder="1" applyAlignment="1">
      <alignment horizontal="right" vertical="center"/>
    </xf>
    <xf numFmtId="0" fontId="13" fillId="0" borderId="0" xfId="0" applyFont="1" applyAlignment="1" applyProtection="1">
      <alignment horizontal="left" vertical="center"/>
      <protection locked="0"/>
    </xf>
    <xf numFmtId="0" fontId="25" fillId="0" borderId="0" xfId="0" applyFont="1" applyAlignment="1">
      <alignment horizont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22" fillId="0" borderId="9" xfId="0" applyFont="1" applyBorder="1" applyAlignment="1" applyProtection="1">
      <alignment horizontal="righ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21" fillId="0" borderId="9" xfId="0" applyFont="1" applyBorder="1" applyAlignment="1" applyProtection="1">
      <alignment horizontal="left" vertical="center"/>
      <protection locked="0"/>
    </xf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0" fillId="0" borderId="0" xfId="0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" fillId="0" borderId="0" xfId="0" applyFont="1"/>
    <xf numFmtId="0" fontId="0" fillId="0" borderId="0" xfId="0"/>
    <xf numFmtId="0" fontId="19" fillId="4" borderId="0" xfId="0" applyFont="1" applyFill="1" applyAlignment="1">
      <alignment horizontal="left" vertical="center"/>
    </xf>
    <xf numFmtId="0" fontId="14" fillId="7" borderId="6" xfId="0" applyFont="1" applyFill="1" applyBorder="1" applyAlignment="1">
      <alignment horizontal="center" vertical="center"/>
    </xf>
    <xf numFmtId="0" fontId="0" fillId="0" borderId="4" xfId="0" applyBorder="1"/>
    <xf numFmtId="0" fontId="14" fillId="7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13" fillId="6" borderId="3" xfId="0" applyFont="1" applyFill="1" applyBorder="1" applyAlignment="1">
      <alignment horizontal="left" vertical="center"/>
    </xf>
    <xf numFmtId="0" fontId="0" fillId="0" borderId="3" xfId="0" applyBorder="1"/>
    <xf numFmtId="0" fontId="4" fillId="2" borderId="1" xfId="0" applyFont="1" applyFill="1" applyBorder="1" applyAlignment="1">
      <alignment horizontal="left" vertical="center"/>
    </xf>
    <xf numFmtId="0" fontId="0" fillId="0" borderId="1" xfId="0" applyBorder="1"/>
    <xf numFmtId="0" fontId="6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 vertical="center"/>
    </xf>
    <xf numFmtId="0" fontId="12" fillId="0" borderId="0" xfId="0" applyFont="1"/>
    <xf numFmtId="0" fontId="8" fillId="4" borderId="0" xfId="0" applyFont="1" applyFill="1" applyAlignment="1">
      <alignment horizontal="center" vertical="center"/>
    </xf>
    <xf numFmtId="0" fontId="10" fillId="5" borderId="2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64C"/>
      <rgbColor rgb="FF800080"/>
      <rgbColor rgb="FF008080"/>
      <rgbColor rgb="FFC0C6CF"/>
      <rgbColor rgb="FF6E7C8C"/>
      <rgbColor rgb="FF8B96A3"/>
      <rgbColor rgb="FF993366"/>
      <rgbColor rgb="FFF9F5EC"/>
      <rgbColor rgb="FFE2E8F0"/>
      <rgbColor rgb="FF660066"/>
      <rgbColor rgb="FFFF8080"/>
      <rgbColor rgb="FF0066CC"/>
      <rgbColor rgb="FFF7F8F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0F4"/>
      <rgbColor rgb="FFF5F3ED"/>
      <rgbColor rgb="FFFFFFF5"/>
      <rgbColor rgb="FF99CCFF"/>
      <rgbColor rgb="FFFF99CC"/>
      <rgbColor rgb="FFCC99FF"/>
      <rgbColor rgb="FFF8FAFC"/>
      <rgbColor rgb="FF3366FF"/>
      <rgbColor rgb="FF33CCCC"/>
      <rgbColor rgb="FF99CC00"/>
      <rgbColor rgb="FFFFCC00"/>
      <rgbColor rgb="FFD4AF37"/>
      <rgbColor rgb="FFFF6600"/>
      <rgbColor rgb="FF666666"/>
      <rgbColor rgb="FF999999"/>
      <rgbColor rgb="FF0B2662"/>
      <rgbColor rgb="FF6C7CA0"/>
      <rgbColor rgb="FF003300"/>
      <rgbColor rgb="FF1B3050"/>
      <rgbColor rgb="FF993300"/>
      <rgbColor rgb="FF993366"/>
      <rgbColor rgb="FF3B518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Michael Oak">
      <a:dk1>
        <a:srgbClr val="000000"/>
      </a:dk1>
      <a:lt1>
        <a:srgbClr val="FFFFFF"/>
      </a:lt1>
      <a:dk2>
        <a:srgbClr val="6E7C8C"/>
      </a:dk2>
      <a:lt2>
        <a:srgbClr val="A8B0BA"/>
      </a:lt2>
      <a:accent1>
        <a:srgbClr val="0B2662"/>
      </a:accent1>
      <a:accent2>
        <a:srgbClr val="D4AF37"/>
      </a:accent2>
      <a:accent3>
        <a:srgbClr val="1C5253"/>
      </a:accent3>
      <a:accent4>
        <a:srgbClr val="3B5181"/>
      </a:accent4>
      <a:accent5>
        <a:srgbClr val="DCB55F"/>
      </a:accent5>
      <a:accent6>
        <a:srgbClr val="497475"/>
      </a:accent6>
      <a:hlink>
        <a:srgbClr val="0B2662"/>
      </a:hlink>
      <a:folHlink>
        <a:srgbClr val="6C7CA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ichaeloak.com/" TargetMode="External"/><Relationship Id="rId2" Type="http://schemas.openxmlformats.org/officeDocument/2006/relationships/hyperlink" Target="https://data.michaeloak.com/pay-predictor/" TargetMode="External"/><Relationship Id="rId1" Type="http://schemas.openxmlformats.org/officeDocument/2006/relationships/hyperlink" Target="https://data.michaeloak.com/pay-predictor/methodolo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ichaeloak.com/" TargetMode="External"/><Relationship Id="rId1" Type="http://schemas.openxmlformats.org/officeDocument/2006/relationships/hyperlink" Target="mailto:mike@michaeloa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B2662"/>
    <pageSetUpPr fitToPage="1"/>
  </sheetPr>
  <dimension ref="A1:B18"/>
  <sheetViews>
    <sheetView showGridLines="0" tabSelected="1" workbookViewId="0"/>
  </sheetViews>
  <sheetFormatPr defaultRowHeight="14.4" x14ac:dyDescent="0.3"/>
  <cols>
    <col min="1" max="1" width="16" customWidth="1"/>
    <col min="2" max="2" width="92" customWidth="1"/>
  </cols>
  <sheetData>
    <row r="1" spans="1:2" ht="21" x14ac:dyDescent="0.4">
      <c r="A1" s="54" t="s">
        <v>0</v>
      </c>
    </row>
    <row r="2" spans="1:2" x14ac:dyDescent="0.3">
      <c r="A2" s="55" t="s">
        <v>1</v>
      </c>
    </row>
    <row r="4" spans="1:2" x14ac:dyDescent="0.3">
      <c r="A4" s="56" t="s">
        <v>2</v>
      </c>
      <c r="B4" s="57" t="s">
        <v>1</v>
      </c>
    </row>
    <row r="5" spans="1:2" x14ac:dyDescent="0.3">
      <c r="A5" s="56" t="s">
        <v>3</v>
      </c>
      <c r="B5" s="57" t="s">
        <v>0</v>
      </c>
    </row>
    <row r="6" spans="1:2" ht="28.8" x14ac:dyDescent="0.3">
      <c r="A6" s="56" t="s">
        <v>4</v>
      </c>
      <c r="B6" s="57" t="s">
        <v>5</v>
      </c>
    </row>
    <row r="7" spans="1:2" x14ac:dyDescent="0.3">
      <c r="A7" s="56" t="s">
        <v>6</v>
      </c>
      <c r="B7" s="57" t="s">
        <v>7</v>
      </c>
    </row>
    <row r="8" spans="1:2" ht="28.8" x14ac:dyDescent="0.3">
      <c r="A8" s="56" t="s">
        <v>8</v>
      </c>
      <c r="B8" s="57" t="s">
        <v>9</v>
      </c>
    </row>
    <row r="9" spans="1:2" ht="43.2" x14ac:dyDescent="0.3">
      <c r="A9" s="56" t="s">
        <v>10</v>
      </c>
      <c r="B9" s="57" t="s">
        <v>11</v>
      </c>
    </row>
    <row r="10" spans="1:2" x14ac:dyDescent="0.3">
      <c r="A10" s="56" t="s">
        <v>12</v>
      </c>
      <c r="B10" s="57" t="s">
        <v>13</v>
      </c>
    </row>
    <row r="11" spans="1:2" ht="28.8" x14ac:dyDescent="0.3">
      <c r="A11" s="56" t="s">
        <v>14</v>
      </c>
      <c r="B11" s="57" t="s">
        <v>15</v>
      </c>
    </row>
    <row r="12" spans="1:2" x14ac:dyDescent="0.3">
      <c r="A12" s="56" t="s">
        <v>16</v>
      </c>
      <c r="B12" s="58" t="s">
        <v>17</v>
      </c>
    </row>
    <row r="13" spans="1:2" x14ac:dyDescent="0.3">
      <c r="A13" s="56" t="s">
        <v>18</v>
      </c>
      <c r="B13" s="58" t="s">
        <v>19</v>
      </c>
    </row>
    <row r="14" spans="1:2" ht="28.8" x14ac:dyDescent="0.3">
      <c r="A14" s="56" t="s">
        <v>20</v>
      </c>
      <c r="B14" s="57" t="s">
        <v>21</v>
      </c>
    </row>
    <row r="15" spans="1:2" ht="43.2" x14ac:dyDescent="0.3">
      <c r="A15" s="56" t="s">
        <v>22</v>
      </c>
      <c r="B15" s="57" t="s">
        <v>23</v>
      </c>
    </row>
    <row r="16" spans="1:2" ht="28.8" x14ac:dyDescent="0.3">
      <c r="A16" s="56" t="s">
        <v>24</v>
      </c>
      <c r="B16" s="57" t="s">
        <v>25</v>
      </c>
    </row>
    <row r="17" spans="1:2" ht="28.8" x14ac:dyDescent="0.3">
      <c r="A17" s="56" t="s">
        <v>26</v>
      </c>
      <c r="B17" s="57" t="s">
        <v>27</v>
      </c>
    </row>
    <row r="18" spans="1:2" x14ac:dyDescent="0.3">
      <c r="A18" s="56" t="s">
        <v>28</v>
      </c>
      <c r="B18" s="58" t="s">
        <v>29</v>
      </c>
    </row>
  </sheetData>
  <hyperlinks>
    <hyperlink ref="B12" r:id="rId1" xr:uid="{00000000-0004-0000-0000-000000000000}"/>
    <hyperlink ref="B13" r:id="rId2" xr:uid="{00000000-0004-0000-0000-000001000000}"/>
    <hyperlink ref="B18" r:id="rId3" xr:uid="{00000000-0004-0000-0000-000002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4"/>
  <sheetViews>
    <sheetView showGridLines="0" zoomScaleNormal="100" workbookViewId="0">
      <selection sqref="A1:U1"/>
    </sheetView>
  </sheetViews>
  <sheetFormatPr defaultColWidth="8.88671875" defaultRowHeight="14.25" customHeight="1" x14ac:dyDescent="0.3"/>
  <cols>
    <col min="1" max="1" width="22" style="1" customWidth="1"/>
    <col min="2" max="2" width="13" style="1" customWidth="1"/>
    <col min="3" max="21" width="13" customWidth="1"/>
    <col min="22" max="22" width="8.88671875" style="1" customWidth="1"/>
    <col min="23" max="23" width="13" style="1" hidden="1" customWidth="1"/>
    <col min="24" max="32" width="8.88671875" style="1" customWidth="1"/>
    <col min="33" max="16384" width="8.88671875" style="1"/>
  </cols>
  <sheetData>
    <row r="1" spans="1:23" ht="27.75" customHeight="1" x14ac:dyDescent="0.3">
      <c r="A1" s="67" t="s">
        <v>30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W1" s="21" t="s">
        <v>31</v>
      </c>
    </row>
    <row r="2" spans="1:23" ht="21.75" customHeight="1" x14ac:dyDescent="0.3">
      <c r="A2" s="70" t="s">
        <v>32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W2" s="21">
        <f>VLOOKUP($D$8,EFS_Params!$A$3:$B$8,2,FALSE())</f>
        <v>1</v>
      </c>
    </row>
    <row r="3" spans="1:23" ht="3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W3" s="21" t="s">
        <v>33</v>
      </c>
    </row>
    <row r="4" spans="1:23" ht="6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4"/>
      <c r="W4" s="25">
        <f>EFS_Params!$B$37</f>
        <v>1.019803902718557</v>
      </c>
    </row>
    <row r="5" spans="1:23" ht="37.5" customHeight="1" x14ac:dyDescent="0.3">
      <c r="A5" s="72" t="s">
        <v>34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W5" s="21" t="s">
        <v>35</v>
      </c>
    </row>
    <row r="6" spans="1:23" ht="6" customHeight="1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W6" s="26">
        <f>VLOOKUP($G$8,EFS_Params!$A$30:$C$34,2,FALSE())</f>
        <v>0</v>
      </c>
    </row>
    <row r="7" spans="1:23" ht="18" customHeight="1" x14ac:dyDescent="0.3">
      <c r="A7" s="27" t="s">
        <v>36</v>
      </c>
      <c r="B7" s="28"/>
      <c r="C7" s="28"/>
      <c r="D7" s="75" t="s">
        <v>37</v>
      </c>
      <c r="E7" s="61"/>
      <c r="F7" s="61"/>
      <c r="G7" s="27" t="s">
        <v>38</v>
      </c>
      <c r="H7" s="23"/>
      <c r="I7" s="27" t="s">
        <v>39</v>
      </c>
      <c r="J7" s="23"/>
      <c r="K7" s="27" t="s">
        <v>40</v>
      </c>
      <c r="L7" s="23"/>
      <c r="M7" s="23"/>
      <c r="N7" s="23"/>
      <c r="O7" s="23"/>
      <c r="P7" s="23"/>
      <c r="Q7" s="23"/>
      <c r="R7" s="23"/>
      <c r="S7" s="23"/>
      <c r="T7" s="23"/>
      <c r="U7" s="23"/>
      <c r="W7" s="1" t="s">
        <v>41</v>
      </c>
    </row>
    <row r="8" spans="1:23" ht="18" customHeight="1" x14ac:dyDescent="0.3">
      <c r="A8" s="2">
        <v>10</v>
      </c>
      <c r="B8" s="28"/>
      <c r="C8" s="28"/>
      <c r="D8" s="76" t="s">
        <v>42</v>
      </c>
      <c r="E8" s="77"/>
      <c r="F8" s="78"/>
      <c r="G8" s="2">
        <v>3</v>
      </c>
      <c r="H8" s="23"/>
      <c r="I8" s="2">
        <v>0</v>
      </c>
      <c r="J8" s="23"/>
      <c r="K8" s="3" t="s">
        <v>43</v>
      </c>
      <c r="L8" s="23"/>
      <c r="M8" s="23"/>
      <c r="N8" s="23"/>
      <c r="O8" s="23"/>
      <c r="P8" s="23"/>
      <c r="Q8" s="23"/>
      <c r="R8" s="23"/>
      <c r="S8" s="23"/>
      <c r="T8" s="23"/>
      <c r="U8" s="23"/>
      <c r="W8" s="1">
        <f>VLOOKUP($G$8,EFS_Params!$A$30:$C$34,3,FALSE())</f>
        <v>0</v>
      </c>
    </row>
    <row r="9" spans="1:23" s="4" customFormat="1" ht="13.5" customHeight="1" x14ac:dyDescent="0.2">
      <c r="A9" s="29" t="s">
        <v>44</v>
      </c>
      <c r="B9" s="30"/>
      <c r="C9" s="30"/>
      <c r="D9" s="73" t="s">
        <v>45</v>
      </c>
      <c r="E9" s="74"/>
      <c r="F9" s="74"/>
      <c r="G9" s="29" t="s">
        <v>46</v>
      </c>
      <c r="H9" s="30"/>
      <c r="I9" s="29" t="s">
        <v>47</v>
      </c>
      <c r="J9" s="30"/>
      <c r="K9" s="29" t="s">
        <v>48</v>
      </c>
      <c r="L9" s="30"/>
      <c r="M9" s="30"/>
      <c r="N9" s="30"/>
      <c r="O9" s="30"/>
      <c r="P9" s="30"/>
      <c r="Q9" s="30"/>
      <c r="R9" s="30"/>
      <c r="S9" s="30"/>
      <c r="T9" s="30"/>
      <c r="U9" s="30"/>
      <c r="W9" s="4" t="s">
        <v>49</v>
      </c>
    </row>
    <row r="10" spans="1:23" ht="6" customHeight="1" x14ac:dyDescent="0.3"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W10" s="1">
        <f>IF($A$8&lt;=EFS_Params!$B$49,EFS_Params!$B$50,IF($A$8&gt;=EFS_Params!$B$51,EFS_Params!$B$52,EFS_Params!$B$50+(EFS_Params!$B$52-EFS_Params!$B$50)*LN($A$8/EFS_Params!$B$49)/LN(EFS_Params!$B$51/EFS_Params!$B$49)))</f>
        <v>1.2</v>
      </c>
    </row>
    <row r="11" spans="1:23" ht="21.75" customHeight="1" x14ac:dyDescent="0.3">
      <c r="A11" s="68" t="str">
        <f>"Investment Professionals ("&amp;TEXT(A8,"$#.0")&amp;"B AUM)"</f>
        <v>Investment Professionals ($10.0B AUM)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W11" s="1" t="s">
        <v>50</v>
      </c>
    </row>
    <row r="12" spans="1:23" ht="19.5" customHeight="1" x14ac:dyDescent="0.3">
      <c r="A12" s="31"/>
      <c r="B12" s="65" t="s">
        <v>51</v>
      </c>
      <c r="C12" s="64"/>
      <c r="D12" s="64"/>
      <c r="E12" s="64"/>
      <c r="F12" s="64"/>
      <c r="G12" s="66" t="s">
        <v>52</v>
      </c>
      <c r="H12" s="64"/>
      <c r="I12" s="64"/>
      <c r="J12" s="64"/>
      <c r="K12" s="64"/>
      <c r="L12" s="63" t="s">
        <v>53</v>
      </c>
      <c r="M12" s="64"/>
      <c r="N12" s="64"/>
      <c r="O12" s="64"/>
      <c r="P12" s="64"/>
      <c r="Q12" s="66" t="s">
        <v>54</v>
      </c>
      <c r="R12" s="64"/>
      <c r="S12" s="64"/>
      <c r="T12" s="64"/>
      <c r="U12" s="64"/>
      <c r="W12" s="1">
        <f>EFS_Params!$B$45</f>
        <v>1.8</v>
      </c>
    </row>
    <row r="13" spans="1:23" ht="19.5" customHeight="1" x14ac:dyDescent="0.3">
      <c r="A13" s="32" t="s">
        <v>55</v>
      </c>
      <c r="B13" s="33" t="s">
        <v>56</v>
      </c>
      <c r="C13" s="34" t="s">
        <v>57</v>
      </c>
      <c r="D13" s="34" t="s">
        <v>58</v>
      </c>
      <c r="E13" s="34" t="s">
        <v>59</v>
      </c>
      <c r="F13" s="34" t="s">
        <v>60</v>
      </c>
      <c r="G13" s="33" t="s">
        <v>56</v>
      </c>
      <c r="H13" s="34" t="s">
        <v>57</v>
      </c>
      <c r="I13" s="34" t="s">
        <v>58</v>
      </c>
      <c r="J13" s="34" t="s">
        <v>59</v>
      </c>
      <c r="K13" s="34" t="s">
        <v>60</v>
      </c>
      <c r="L13" s="33" t="s">
        <v>56</v>
      </c>
      <c r="M13" s="34" t="s">
        <v>57</v>
      </c>
      <c r="N13" s="34" t="s">
        <v>58</v>
      </c>
      <c r="O13" s="34" t="s">
        <v>59</v>
      </c>
      <c r="P13" s="34" t="s">
        <v>60</v>
      </c>
      <c r="Q13" s="33" t="s">
        <v>56</v>
      </c>
      <c r="R13" s="34" t="s">
        <v>57</v>
      </c>
      <c r="S13" s="34" t="s">
        <v>58</v>
      </c>
      <c r="T13" s="34" t="s">
        <v>59</v>
      </c>
      <c r="U13" s="34" t="s">
        <v>60</v>
      </c>
      <c r="W13" s="1" t="s">
        <v>61</v>
      </c>
    </row>
    <row r="14" spans="1:23" ht="18" customHeight="1" x14ac:dyDescent="0.3">
      <c r="A14" s="35" t="s">
        <v>62</v>
      </c>
      <c r="B14" s="36">
        <f>ROUND(MROUND(MAX($W$4*EFS_Params!$I$12*POWER($A$8,EFS_Params!$J$12)*(1+$W$6)*(1+($W$2-1)*EFS_Params!$E$12),EFS_Params!$M$12)*(1+EFS_Params!$A$42*$W$14),5000),0)</f>
        <v>75000</v>
      </c>
      <c r="C14" s="37">
        <f>ROUND(MROUND(MAX($W$4*EFS_Params!$I$12*POWER($A$8,EFS_Params!$J$12)*(1+$W$6)*(1+($W$2-1)*EFS_Params!$E$12),EFS_Params!$M$12)*(1+EFS_Params!$B$42*$W$14),5000),0)</f>
        <v>95000</v>
      </c>
      <c r="D14" s="38">
        <f>ROUND(MROUND(MAX($W$4*EFS_Params!$I$12*POWER($A$8,EFS_Params!$J$12)*(1+$W$6)*(1+($W$2-1)*EFS_Params!$E$12),EFS_Params!$M$12)*(1+EFS_Params!$C$42*$W$14),5000),0)</f>
        <v>115000</v>
      </c>
      <c r="E14" s="37">
        <f>ROUND(MROUND(MAX($W$4*EFS_Params!$I$12*POWER($A$8,EFS_Params!$J$12)*(1+$W$6)*(1+($W$2-1)*EFS_Params!$E$12),EFS_Params!$M$12)*(1+EFS_Params!$D$42*$W$14),5000),0)</f>
        <v>135000</v>
      </c>
      <c r="F14" s="37">
        <f>ROUND(MROUND(MAX($W$4*EFS_Params!$I$12*POWER($A$8,EFS_Params!$J$12)*(1+$W$6)*(1+($W$2-1)*EFS_Params!$E$12),EFS_Params!$M$12)*(1+EFS_Params!$E$42*$W$14),5000),0)</f>
        <v>150000</v>
      </c>
      <c r="G14" s="36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(1+$I$8/100))*(1+EFS_Params!$A$42*$W$14),5000),0)</f>
        <v>90000</v>
      </c>
      <c r="H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(1+$I$8/100))*(1+EFS_Params!$B$42*$W$14),5000),0)</f>
        <v>110000</v>
      </c>
      <c r="I14" s="38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(1+$I$8/100))*(1+EFS_Params!$C$42*$W$14),5000),0)</f>
        <v>135000</v>
      </c>
      <c r="J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(1+$I$8/100))*(1+EFS_Params!$D$42*$W$14),5000),0)</f>
        <v>155000</v>
      </c>
      <c r="K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(1+$I$8/100))*(1+EFS_Params!$E$42*$W$14),5000),0)</f>
        <v>175000</v>
      </c>
      <c r="L14" s="36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$10*(1+$I$8/100))*(1+EFS_Params!$A$42*$W$14),5000),0)</f>
        <v>95000</v>
      </c>
      <c r="M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$10*(1+$I$8/100))*(1+EFS_Params!$B$42*$W$14),5000),0)</f>
        <v>115000</v>
      </c>
      <c r="N14" s="38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$10*(1+$I$8/100))*(1+EFS_Params!$C$42*$W$14),5000),0)</f>
        <v>135000</v>
      </c>
      <c r="O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$10*(1+$I$8/100))*(1+EFS_Params!$D$42*$W$14),5000),0)</f>
        <v>160000</v>
      </c>
      <c r="P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$10*(1+$I$8/100))*(1+EFS_Params!$E$42*$W$14),5000),0)</f>
        <v>180000</v>
      </c>
      <c r="Q14" s="36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$12*(1+$I$8/100))*(1+EFS_Params!$A$42*$W$14),5000),0)</f>
        <v>100000</v>
      </c>
      <c r="R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$12*(1+$I$8/100))*(1+EFS_Params!$B$42*$W$14),5000),0)</f>
        <v>125000</v>
      </c>
      <c r="S14" s="38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$12*(1+$I$8/100))*(1+EFS_Params!$C$42*$W$14),5000),0)</f>
        <v>150000</v>
      </c>
      <c r="T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$12*(1+$I$8/100))*(1+EFS_Params!$D$42*$W$14),5000),0)</f>
        <v>175000</v>
      </c>
      <c r="U14" s="37">
        <f>ROUND(MROUND((MAX($W$4*EFS_Params!$I$12*POWER($A$8,EFS_Params!$J$12)*(1+$W$6)*(1+($W$2-1)*EFS_Params!$E$12),EFS_Params!$M$12)+MAX($W$4*EFS_Params!$I$12*POWER($A$8,EFS_Params!$J$12)*(1+$W$6)*(1+($W$2-1)*EFS_Params!$E$12),EFS_Params!$M$12)*EFS_Params!$K$12*POWER($A$8,EFS_Params!$L$12)*(1+$W$8)*$W$12*(1+$I$8/100))*(1+EFS_Params!$E$42*$W$14),5000),0)</f>
        <v>195000</v>
      </c>
      <c r="W14" s="39">
        <f>EFS_Params!$B$38</f>
        <v>0.25</v>
      </c>
    </row>
    <row r="15" spans="1:23" ht="18" customHeight="1" x14ac:dyDescent="0.3">
      <c r="A15" s="40" t="s">
        <v>63</v>
      </c>
      <c r="B15" s="41">
        <f>ROUND(MROUND(MAX($W$4*EFS_Params!$I$13*POWER($A$8,EFS_Params!$J$13)*(1+$W$6)*(1+($W$2-1)*EFS_Params!$E$13),EFS_Params!$M$13)*(1+EFS_Params!$A$42*$W$14),5000),0)</f>
        <v>90000</v>
      </c>
      <c r="C15" s="42">
        <f>ROUND(MROUND(MAX($W$4*EFS_Params!$I$13*POWER($A$8,EFS_Params!$J$13)*(1+$W$6)*(1+($W$2-1)*EFS_Params!$E$13),EFS_Params!$M$13)*(1+EFS_Params!$B$42*$W$14),5000),0)</f>
        <v>115000</v>
      </c>
      <c r="D15" s="38">
        <f>ROUND(MROUND(MAX($W$4*EFS_Params!$I$13*POWER($A$8,EFS_Params!$J$13)*(1+$W$6)*(1+($W$2-1)*EFS_Params!$E$13),EFS_Params!$M$13)*(1+EFS_Params!$C$42*$W$14),5000),0)</f>
        <v>135000</v>
      </c>
      <c r="E15" s="42">
        <f>ROUND(MROUND(MAX($W$4*EFS_Params!$I$13*POWER($A$8,EFS_Params!$J$13)*(1+$W$6)*(1+($W$2-1)*EFS_Params!$E$13),EFS_Params!$M$13)*(1+EFS_Params!$D$42*$W$14),5000),0)</f>
        <v>160000</v>
      </c>
      <c r="F15" s="42">
        <f>ROUND(MROUND(MAX($W$4*EFS_Params!$I$13*POWER($A$8,EFS_Params!$J$13)*(1+$W$6)*(1+($W$2-1)*EFS_Params!$E$13),EFS_Params!$M$13)*(1+EFS_Params!$E$42*$W$14),5000),0)</f>
        <v>180000</v>
      </c>
      <c r="G15" s="41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(1+$I$8/100))*(1+EFS_Params!$A$42*$W$14),5000),0)</f>
        <v>115000</v>
      </c>
      <c r="H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(1+$I$8/100))*(1+EFS_Params!$B$42*$W$14),5000),0)</f>
        <v>140000</v>
      </c>
      <c r="I15" s="38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(1+$I$8/100))*(1+EFS_Params!$C$42*$W$14),5000),0)</f>
        <v>170000</v>
      </c>
      <c r="J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(1+$I$8/100))*(1+EFS_Params!$D$42*$W$14),5000),0)</f>
        <v>195000</v>
      </c>
      <c r="K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(1+$I$8/100))*(1+EFS_Params!$E$42*$W$14),5000),0)</f>
        <v>220000</v>
      </c>
      <c r="L15" s="41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$10*(1+$I$8/100))*(1+EFS_Params!$A$42*$W$14),5000),0)</f>
        <v>120000</v>
      </c>
      <c r="M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$10*(1+$I$8/100))*(1+EFS_Params!$B$42*$W$14),5000),0)</f>
        <v>145000</v>
      </c>
      <c r="N15" s="38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$10*(1+$I$8/100))*(1+EFS_Params!$C$42*$W$14),5000),0)</f>
        <v>175000</v>
      </c>
      <c r="O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$10*(1+$I$8/100))*(1+EFS_Params!$D$42*$W$14),5000),0)</f>
        <v>205000</v>
      </c>
      <c r="P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$10*(1+$I$8/100))*(1+EFS_Params!$E$42*$W$14),5000),0)</f>
        <v>230000</v>
      </c>
      <c r="Q15" s="41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$12*(1+$I$8/100))*(1+EFS_Params!$A$42*$W$14),5000),0)</f>
        <v>130000</v>
      </c>
      <c r="R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$12*(1+$I$8/100))*(1+EFS_Params!$B$42*$W$14),5000),0)</f>
        <v>160000</v>
      </c>
      <c r="S15" s="38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$12*(1+$I$8/100))*(1+EFS_Params!$C$42*$W$14),5000),0)</f>
        <v>195000</v>
      </c>
      <c r="T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$12*(1+$I$8/100))*(1+EFS_Params!$D$42*$W$14),5000),0)</f>
        <v>225000</v>
      </c>
      <c r="U15" s="42">
        <f>ROUND(MROUND((MAX($W$4*EFS_Params!$I$13*POWER($A$8,EFS_Params!$J$13)*(1+$W$6)*(1+($W$2-1)*EFS_Params!$E$13),EFS_Params!$M$13)+MAX($W$4*EFS_Params!$I$13*POWER($A$8,EFS_Params!$J$13)*(1+$W$6)*(1+($W$2-1)*EFS_Params!$E$13),EFS_Params!$M$13)*EFS_Params!$K$13*POWER($A$8,EFS_Params!$L$13)*(1+$W$8)*$W$12*(1+$I$8/100))*(1+EFS_Params!$E$42*$W$14),5000),0)</f>
        <v>255000</v>
      </c>
    </row>
    <row r="16" spans="1:23" ht="18" customHeight="1" x14ac:dyDescent="0.3">
      <c r="A16" s="35" t="s">
        <v>64</v>
      </c>
      <c r="B16" s="36">
        <f>ROUND(MROUND(MAX($W$4*EFS_Params!$I$14*POWER($A$8,EFS_Params!$J$14)*(1+$W$6)*(1+($W$2-1)*EFS_Params!$E$14),EFS_Params!$M$14)*(1+EFS_Params!$A$42*$W$14),5000),0)</f>
        <v>115000</v>
      </c>
      <c r="C16" s="37">
        <f>ROUND(MROUND(MAX($W$4*EFS_Params!$I$14*POWER($A$8,EFS_Params!$J$14)*(1+$W$6)*(1+($W$2-1)*EFS_Params!$E$14),EFS_Params!$M$14)*(1+EFS_Params!$B$42*$W$14),5000),0)</f>
        <v>140000</v>
      </c>
      <c r="D16" s="38">
        <f>ROUND(MROUND(MAX($W$4*EFS_Params!$I$14*POWER($A$8,EFS_Params!$J$14)*(1+$W$6)*(1+($W$2-1)*EFS_Params!$E$14),EFS_Params!$M$14)*(1+EFS_Params!$C$42*$W$14),5000),0)</f>
        <v>165000</v>
      </c>
      <c r="E16" s="37">
        <f>ROUND(MROUND(MAX($W$4*EFS_Params!$I$14*POWER($A$8,EFS_Params!$J$14)*(1+$W$6)*(1+($W$2-1)*EFS_Params!$E$14),EFS_Params!$M$14)*(1+EFS_Params!$D$42*$W$14),5000),0)</f>
        <v>195000</v>
      </c>
      <c r="F16" s="37">
        <f>ROUND(MROUND(MAX($W$4*EFS_Params!$I$14*POWER($A$8,EFS_Params!$J$14)*(1+$W$6)*(1+($W$2-1)*EFS_Params!$E$14),EFS_Params!$M$14)*(1+EFS_Params!$E$42*$W$14),5000),0)</f>
        <v>220000</v>
      </c>
      <c r="G16" s="36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(1+$I$8/100))*(1+EFS_Params!$A$42*$W$14),5000),0)</f>
        <v>145000</v>
      </c>
      <c r="H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(1+$I$8/100))*(1+EFS_Params!$B$42*$W$14),5000),0)</f>
        <v>180000</v>
      </c>
      <c r="I16" s="38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(1+$I$8/100))*(1+EFS_Params!$C$42*$W$14),5000),0)</f>
        <v>215000</v>
      </c>
      <c r="J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(1+$I$8/100))*(1+EFS_Params!$D$42*$W$14),5000),0)</f>
        <v>250000</v>
      </c>
      <c r="K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(1+$I$8/100))*(1+EFS_Params!$E$42*$W$14),5000),0)</f>
        <v>285000</v>
      </c>
      <c r="L16" s="36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$10*(1+$I$8/100))*(1+EFS_Params!$A$42*$W$14),5000),0)</f>
        <v>150000</v>
      </c>
      <c r="M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$10*(1+$I$8/100))*(1+EFS_Params!$B$42*$W$14),5000),0)</f>
        <v>185000</v>
      </c>
      <c r="N16" s="38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$10*(1+$I$8/100))*(1+EFS_Params!$C$42*$W$14),5000),0)</f>
        <v>225000</v>
      </c>
      <c r="O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$10*(1+$I$8/100))*(1+EFS_Params!$D$42*$W$14),5000),0)</f>
        <v>260000</v>
      </c>
      <c r="P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$10*(1+$I$8/100))*(1+EFS_Params!$E$42*$W$14),5000),0)</f>
        <v>295000</v>
      </c>
      <c r="Q16" s="36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$12*(1+$I$8/100))*(1+EFS_Params!$A$42*$W$14),5000),0)</f>
        <v>170000</v>
      </c>
      <c r="R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$12*(1+$I$8/100))*(1+EFS_Params!$B$42*$W$14),5000),0)</f>
        <v>210000</v>
      </c>
      <c r="S16" s="38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$12*(1+$I$8/100))*(1+EFS_Params!$C$42*$W$14),5000),0)</f>
        <v>255000</v>
      </c>
      <c r="T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$12*(1+$I$8/100))*(1+EFS_Params!$D$42*$W$14),5000),0)</f>
        <v>295000</v>
      </c>
      <c r="U16" s="37">
        <f>ROUND(MROUND((MAX($W$4*EFS_Params!$I$14*POWER($A$8,EFS_Params!$J$14)*(1+$W$6)*(1+($W$2-1)*EFS_Params!$E$14),EFS_Params!$M$14)+MAX($W$4*EFS_Params!$I$14*POWER($A$8,EFS_Params!$J$14)*(1+$W$6)*(1+($W$2-1)*EFS_Params!$E$14),EFS_Params!$M$14)*EFS_Params!$K$14*POWER($A$8,EFS_Params!$L$14)*(1+$W$8)*$W$12*(1+$I$8/100))*(1+EFS_Params!$E$42*$W$14),5000),0)</f>
        <v>335000</v>
      </c>
    </row>
    <row r="17" spans="1:21" ht="18" customHeight="1" x14ac:dyDescent="0.3">
      <c r="A17" s="40" t="s">
        <v>65</v>
      </c>
      <c r="B17" s="41">
        <f>ROUND(MROUND(MAX($W$4*EFS_Params!$I$15*POWER($A$8,EFS_Params!$J$15)*(1+$W$6)*(1+($W$2-1)*EFS_Params!$E$15),EFS_Params!$M$15)*(1+EFS_Params!$A$42*$W$14),5000),0)</f>
        <v>185000</v>
      </c>
      <c r="C17" s="42">
        <f>ROUND(MROUND(MAX($W$4*EFS_Params!$I$15*POWER($A$8,EFS_Params!$J$15)*(1+$W$6)*(1+($W$2-1)*EFS_Params!$E$15),EFS_Params!$M$15)*(1+EFS_Params!$B$42*$W$14),5000),0)</f>
        <v>225000</v>
      </c>
      <c r="D17" s="38">
        <f>ROUND(MROUND(MAX($W$4*EFS_Params!$I$15*POWER($A$8,EFS_Params!$J$15)*(1+$W$6)*(1+($W$2-1)*EFS_Params!$E$15),EFS_Params!$M$15)*(1+EFS_Params!$C$42*$W$14),5000),0)</f>
        <v>270000</v>
      </c>
      <c r="E17" s="42">
        <f>ROUND(MROUND(MAX($W$4*EFS_Params!$I$15*POWER($A$8,EFS_Params!$J$15)*(1+$W$6)*(1+($W$2-1)*EFS_Params!$E$15),EFS_Params!$M$15)*(1+EFS_Params!$D$42*$W$14),5000),0)</f>
        <v>315000</v>
      </c>
      <c r="F17" s="42">
        <f>ROUND(MROUND(MAX($W$4*EFS_Params!$I$15*POWER($A$8,EFS_Params!$J$15)*(1+$W$6)*(1+($W$2-1)*EFS_Params!$E$15),EFS_Params!$M$15)*(1+EFS_Params!$E$42*$W$14),5000),0)</f>
        <v>355000</v>
      </c>
      <c r="G17" s="41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(1+$I$8/100))*(1+EFS_Params!$A$42*$W$14),5000),0)</f>
        <v>320000</v>
      </c>
      <c r="H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(1+$I$8/100))*(1+EFS_Params!$B$42*$W$14),5000),0)</f>
        <v>390000</v>
      </c>
      <c r="I17" s="38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(1+$I$8/100))*(1+EFS_Params!$C$42*$W$14),5000),0)</f>
        <v>470000</v>
      </c>
      <c r="J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(1+$I$8/100))*(1+EFS_Params!$D$42*$W$14),5000),0)</f>
        <v>545000</v>
      </c>
      <c r="K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(1+$I$8/100))*(1+EFS_Params!$E$42*$W$14),5000),0)</f>
        <v>620000</v>
      </c>
      <c r="L17" s="41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$10*(1+$I$8/100))*(1+EFS_Params!$A$42*$W$14),5000),0)</f>
        <v>345000</v>
      </c>
      <c r="M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$10*(1+$I$8/100))*(1+EFS_Params!$B$42*$W$14),5000),0)</f>
        <v>420000</v>
      </c>
      <c r="N17" s="38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$10*(1+$I$8/100))*(1+EFS_Params!$C$42*$W$14),5000),0)</f>
        <v>510000</v>
      </c>
      <c r="O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$10*(1+$I$8/100))*(1+EFS_Params!$D$42*$W$14),5000),0)</f>
        <v>595000</v>
      </c>
      <c r="P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$10*(1+$I$8/100))*(1+EFS_Params!$E$42*$W$14),5000),0)</f>
        <v>670000</v>
      </c>
      <c r="Q17" s="41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$12*(1+$I$8/100))*(1+EFS_Params!$A$42*$W$14),5000),0)</f>
        <v>425000</v>
      </c>
      <c r="R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$12*(1+$I$8/100))*(1+EFS_Params!$B$42*$W$14),5000),0)</f>
        <v>520000</v>
      </c>
      <c r="S17" s="38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$12*(1+$I$8/100))*(1+EFS_Params!$C$42*$W$14),5000),0)</f>
        <v>625000</v>
      </c>
      <c r="T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$12*(1+$I$8/100))*(1+EFS_Params!$D$42*$W$14),5000),0)</f>
        <v>730000</v>
      </c>
      <c r="U17" s="42">
        <f>ROUND(MROUND((MAX($W$4*EFS_Params!$I$15*POWER($A$8,EFS_Params!$J$15)*(1+$W$6)*(1+($W$2-1)*EFS_Params!$E$15),EFS_Params!$M$15)+MAX($W$4*EFS_Params!$I$15*POWER($A$8,EFS_Params!$J$15)*(1+$W$6)*(1+($W$2-1)*EFS_Params!$E$15),EFS_Params!$M$15)*EFS_Params!$K$15*POWER($A$8,EFS_Params!$L$15)*(1+$W$8)*$W$12*(1+$I$8/100))*(1+EFS_Params!$E$42*$W$14),5000),0)</f>
        <v>825000</v>
      </c>
    </row>
    <row r="18" spans="1:21" ht="18" customHeight="1" x14ac:dyDescent="0.3">
      <c r="A18" s="35" t="s">
        <v>66</v>
      </c>
      <c r="B18" s="36">
        <f>ROUND(MROUND(MAX($W$4*EFS_Params!$I$16*POWER($A$8,EFS_Params!$J$16)*(1+$W$6)*(1+($W$2-1)*EFS_Params!$E$16),EFS_Params!$M$16)*(1+EFS_Params!$A$42*$W$14),5000),0)</f>
        <v>225000</v>
      </c>
      <c r="C18" s="37">
        <f>ROUND(MROUND(MAX($W$4*EFS_Params!$I$16*POWER($A$8,EFS_Params!$J$16)*(1+$W$6)*(1+($W$2-1)*EFS_Params!$E$16),EFS_Params!$M$16)*(1+EFS_Params!$B$42*$W$14),5000),0)</f>
        <v>275000</v>
      </c>
      <c r="D18" s="38">
        <f>ROUND(MROUND(MAX($W$4*EFS_Params!$I$16*POWER($A$8,EFS_Params!$J$16)*(1+$W$6)*(1+($W$2-1)*EFS_Params!$E$16),EFS_Params!$M$16)*(1+EFS_Params!$C$42*$W$14),5000),0)</f>
        <v>335000</v>
      </c>
      <c r="E18" s="37">
        <f>ROUND(MROUND(MAX($W$4*EFS_Params!$I$16*POWER($A$8,EFS_Params!$J$16)*(1+$W$6)*(1+($W$2-1)*EFS_Params!$E$16),EFS_Params!$M$16)*(1+EFS_Params!$D$42*$W$14),5000),0)</f>
        <v>390000</v>
      </c>
      <c r="F18" s="37">
        <f>ROUND(MROUND(MAX($W$4*EFS_Params!$I$16*POWER($A$8,EFS_Params!$J$16)*(1+$W$6)*(1+($W$2-1)*EFS_Params!$E$16),EFS_Params!$M$16)*(1+EFS_Params!$E$42*$W$14),5000),0)</f>
        <v>440000</v>
      </c>
      <c r="G18" s="36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(1+$I$8/100))*(1+EFS_Params!$A$42*$W$14),5000),0)</f>
        <v>525000</v>
      </c>
      <c r="H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(1+$I$8/100))*(1+EFS_Params!$B$42*$W$14),5000),0)</f>
        <v>640000</v>
      </c>
      <c r="I18" s="38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(1+$I$8/100))*(1+EFS_Params!$C$42*$W$14),5000),0)</f>
        <v>770000</v>
      </c>
      <c r="J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(1+$I$8/100))*(1+EFS_Params!$D$42*$W$14),5000),0)</f>
        <v>900000</v>
      </c>
      <c r="K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(1+$I$8/100))*(1+EFS_Params!$E$42*$W$14),5000),0)</f>
        <v>1015000</v>
      </c>
      <c r="L18" s="36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$10*(1+$I$8/100))*(1+EFS_Params!$A$42*$W$14),5000),0)</f>
        <v>585000</v>
      </c>
      <c r="M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$10*(1+$I$8/100))*(1+EFS_Params!$B$42*$W$14),5000),0)</f>
        <v>715000</v>
      </c>
      <c r="N18" s="38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$10*(1+$I$8/100))*(1+EFS_Params!$C$42*$W$14),5000),0)</f>
        <v>855000</v>
      </c>
      <c r="O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$10*(1+$I$8/100))*(1+EFS_Params!$D$42*$W$14),5000),0)</f>
        <v>1000000</v>
      </c>
      <c r="P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$10*(1+$I$8/100))*(1+EFS_Params!$E$42*$W$14),5000),0)</f>
        <v>1130000</v>
      </c>
      <c r="Q18" s="36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$12*(1+$I$8/100))*(1+EFS_Params!$A$42*$W$14),5000),0)</f>
        <v>760000</v>
      </c>
      <c r="R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$12*(1+$I$8/100))*(1+EFS_Params!$B$42*$W$14),5000),0)</f>
        <v>930000</v>
      </c>
      <c r="S18" s="38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$12*(1+$I$8/100))*(1+EFS_Params!$C$42*$W$14),5000),0)</f>
        <v>1120000</v>
      </c>
      <c r="T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$12*(1+$I$8/100))*(1+EFS_Params!$D$42*$W$14),5000),0)</f>
        <v>1310000</v>
      </c>
      <c r="U18" s="37">
        <f>ROUND(MROUND((MAX($W$4*EFS_Params!$I$16*POWER($A$8,EFS_Params!$J$16)*(1+$W$6)*(1+($W$2-1)*EFS_Params!$E$16),EFS_Params!$M$16)+MAX($W$4*EFS_Params!$I$16*POWER($A$8,EFS_Params!$J$16)*(1+$W$6)*(1+($W$2-1)*EFS_Params!$E$16),EFS_Params!$M$16)*EFS_Params!$K$16*POWER($A$8,EFS_Params!$L$16)*(1+$W$8)*$W$12*(1+$I$8/100))*(1+EFS_Params!$E$42*$W$14),5000),0)</f>
        <v>1480000</v>
      </c>
    </row>
    <row r="19" spans="1:21" ht="18" customHeight="1" x14ac:dyDescent="0.3">
      <c r="A19" s="40" t="s">
        <v>67</v>
      </c>
      <c r="B19" s="41">
        <f>ROUND(MROUND(MAX($W$4*EFS_Params!$I$17*POWER($A$8,EFS_Params!$J$17)*(1+$W$6)*(1+($W$2-1)*EFS_Params!$E$17),EFS_Params!$M$17)*(1+EFS_Params!$A$42*$W$14),5000),0)</f>
        <v>300000</v>
      </c>
      <c r="C19" s="42">
        <f>ROUND(MROUND(MAX($W$4*EFS_Params!$I$17*POWER($A$8,EFS_Params!$J$17)*(1+$W$6)*(1+($W$2-1)*EFS_Params!$E$17),EFS_Params!$M$17)*(1+EFS_Params!$B$42*$W$14),5000),0)</f>
        <v>370000</v>
      </c>
      <c r="D19" s="38">
        <f>ROUND(MROUND(MAX($W$4*EFS_Params!$I$17*POWER($A$8,EFS_Params!$J$17)*(1+$W$6)*(1+($W$2-1)*EFS_Params!$E$17),EFS_Params!$M$17)*(1+EFS_Params!$C$42*$W$14),5000),0)</f>
        <v>445000</v>
      </c>
      <c r="E19" s="42">
        <f>ROUND(MROUND(MAX($W$4*EFS_Params!$I$17*POWER($A$8,EFS_Params!$J$17)*(1+$W$6)*(1+($W$2-1)*EFS_Params!$E$17),EFS_Params!$M$17)*(1+EFS_Params!$D$42*$W$14),5000),0)</f>
        <v>520000</v>
      </c>
      <c r="F19" s="42">
        <f>ROUND(MROUND(MAX($W$4*EFS_Params!$I$17*POWER($A$8,EFS_Params!$J$17)*(1+$W$6)*(1+($W$2-1)*EFS_Params!$E$17),EFS_Params!$M$17)*(1+EFS_Params!$E$42*$W$14),5000),0)</f>
        <v>585000</v>
      </c>
      <c r="G19" s="41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(1+$I$8/100))*(1+EFS_Params!$A$42*$W$14),5000),0)</f>
        <v>635000</v>
      </c>
      <c r="H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(1+$I$8/100))*(1+EFS_Params!$B$42*$W$14),5000),0)</f>
        <v>775000</v>
      </c>
      <c r="I19" s="38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(1+$I$8/100))*(1+EFS_Params!$C$42*$W$14),5000),0)</f>
        <v>935000</v>
      </c>
      <c r="J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(1+$I$8/100))*(1+EFS_Params!$D$42*$W$14),5000),0)</f>
        <v>1090000</v>
      </c>
      <c r="K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(1+$I$8/100))*(1+EFS_Params!$E$42*$W$14),5000),0)</f>
        <v>1235000</v>
      </c>
      <c r="L19" s="41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$10*(1+$I$8/100))*(1+EFS_Params!$A$42*$W$14),5000),0)</f>
        <v>700000</v>
      </c>
      <c r="M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$10*(1+$I$8/100))*(1+EFS_Params!$B$42*$W$14),5000),0)</f>
        <v>860000</v>
      </c>
      <c r="N19" s="38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$10*(1+$I$8/100))*(1+EFS_Params!$C$42*$W$14),5000),0)</f>
        <v>1035000</v>
      </c>
      <c r="O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$10*(1+$I$8/100))*(1+EFS_Params!$D$42*$W$14),5000),0)</f>
        <v>1205000</v>
      </c>
      <c r="P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$10*(1+$I$8/100))*(1+EFS_Params!$E$42*$W$14),5000),0)</f>
        <v>1365000</v>
      </c>
      <c r="Q19" s="41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$12*(1+$I$8/100))*(1+EFS_Params!$A$42*$W$14),5000),0)</f>
        <v>900000</v>
      </c>
      <c r="R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$12*(1+$I$8/100))*(1+EFS_Params!$B$42*$W$14),5000),0)</f>
        <v>1105000</v>
      </c>
      <c r="S19" s="38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$12*(1+$I$8/100))*(1+EFS_Params!$C$42*$W$14),5000),0)</f>
        <v>1330000</v>
      </c>
      <c r="T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$12*(1+$I$8/100))*(1+EFS_Params!$D$42*$W$14),5000),0)</f>
        <v>1550000</v>
      </c>
      <c r="U19" s="42">
        <f>ROUND(MROUND((MAX($W$4*EFS_Params!$I$17*POWER($A$8,EFS_Params!$J$17)*(1+$W$6)*(1+($W$2-1)*EFS_Params!$E$17),EFS_Params!$M$17)+MAX($W$4*EFS_Params!$I$17*POWER($A$8,EFS_Params!$J$17)*(1+$W$6)*(1+($W$2-1)*EFS_Params!$E$17),EFS_Params!$M$17)*EFS_Params!$K$17*POWER($A$8,EFS_Params!$L$17)*(1+$W$8)*$W$12*(1+$I$8/100))*(1+EFS_Params!$E$42*$W$14),5000),0)</f>
        <v>1755000</v>
      </c>
    </row>
    <row r="20" spans="1:21" ht="18" customHeight="1" x14ac:dyDescent="0.3">
      <c r="A20" s="35" t="s">
        <v>68</v>
      </c>
      <c r="B20" s="36">
        <f>ROUND(MROUND(MAX($W$4*EFS_Params!$I$18*POWER($A$8,EFS_Params!$J$18)*(1+$W$6)*(1+($W$2-1)*EFS_Params!$E$18),EFS_Params!$M$18)*(1+EFS_Params!$A$42*$W$14),5000),0)</f>
        <v>385000</v>
      </c>
      <c r="C20" s="37">
        <f>ROUND(MROUND(MAX($W$4*EFS_Params!$I$18*POWER($A$8,EFS_Params!$J$18)*(1+$W$6)*(1+($W$2-1)*EFS_Params!$E$18),EFS_Params!$M$18)*(1+EFS_Params!$B$42*$W$14),5000),0)</f>
        <v>475000</v>
      </c>
      <c r="D20" s="38">
        <f>ROUND(MROUND(MAX($W$4*EFS_Params!$I$18*POWER($A$8,EFS_Params!$J$18)*(1+$W$6)*(1+($W$2-1)*EFS_Params!$E$18),EFS_Params!$M$18)*(1+EFS_Params!$C$42*$W$14),5000),0)</f>
        <v>570000</v>
      </c>
      <c r="E20" s="37">
        <f>ROUND(MROUND(MAX($W$4*EFS_Params!$I$18*POWER($A$8,EFS_Params!$J$18)*(1+$W$6)*(1+($W$2-1)*EFS_Params!$E$18),EFS_Params!$M$18)*(1+EFS_Params!$D$42*$W$14),5000),0)</f>
        <v>665000</v>
      </c>
      <c r="F20" s="37">
        <f>ROUND(MROUND(MAX($W$4*EFS_Params!$I$18*POWER($A$8,EFS_Params!$J$18)*(1+$W$6)*(1+($W$2-1)*EFS_Params!$E$18),EFS_Params!$M$18)*(1+EFS_Params!$E$42*$W$14),5000),0)</f>
        <v>755000</v>
      </c>
      <c r="G20" s="36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(1+$I$8/100))*(1+EFS_Params!$A$42*$W$14),5000),0)</f>
        <v>880000</v>
      </c>
      <c r="H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(1+$I$8/100))*(1+EFS_Params!$B$42*$W$14),5000),0)</f>
        <v>1080000</v>
      </c>
      <c r="I20" s="38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(1+$I$8/100))*(1+EFS_Params!$C$42*$W$14),5000),0)</f>
        <v>1295000</v>
      </c>
      <c r="J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(1+$I$8/100))*(1+EFS_Params!$D$42*$W$14),5000),0)</f>
        <v>1515000</v>
      </c>
      <c r="K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(1+$I$8/100))*(1+EFS_Params!$E$42*$W$14),5000),0)</f>
        <v>1710000</v>
      </c>
      <c r="L20" s="36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$10*(1+$I$8/100))*(1+EFS_Params!$A$42*$W$14),5000),0)</f>
        <v>980000</v>
      </c>
      <c r="M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$10*(1+$I$8/100))*(1+EFS_Params!$B$42*$W$14),5000),0)</f>
        <v>1200000</v>
      </c>
      <c r="N20" s="38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$10*(1+$I$8/100))*(1+EFS_Params!$C$42*$W$14),5000),0)</f>
        <v>1440000</v>
      </c>
      <c r="O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$10*(1+$I$8/100))*(1+EFS_Params!$D$42*$W$14),5000),0)</f>
        <v>1685000</v>
      </c>
      <c r="P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$10*(1+$I$8/100))*(1+EFS_Params!$E$42*$W$14),5000),0)</f>
        <v>1905000</v>
      </c>
      <c r="Q20" s="36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$12*(1+$I$8/100))*(1+EFS_Params!$A$42*$W$14),5000),0)</f>
        <v>1275000</v>
      </c>
      <c r="R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$12*(1+$I$8/100))*(1+EFS_Params!$B$42*$W$14),5000),0)</f>
        <v>1560000</v>
      </c>
      <c r="S20" s="38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$12*(1+$I$8/100))*(1+EFS_Params!$C$42*$W$14),5000),0)</f>
        <v>1880000</v>
      </c>
      <c r="T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$12*(1+$I$8/100))*(1+EFS_Params!$D$42*$W$14),5000),0)</f>
        <v>2195000</v>
      </c>
      <c r="U20" s="37">
        <f>ROUND(MROUND((MAX($W$4*EFS_Params!$I$18*POWER($A$8,EFS_Params!$J$18)*(1+$W$6)*(1+($W$2-1)*EFS_Params!$E$18),EFS_Params!$M$18)+MAX($W$4*EFS_Params!$I$18*POWER($A$8,EFS_Params!$J$18)*(1+$W$6)*(1+($W$2-1)*EFS_Params!$E$18),EFS_Params!$M$18)*EFS_Params!$K$18*POWER($A$8,EFS_Params!$L$18)*(1+$W$8)*$W$12*(1+$I$8/100))*(1+EFS_Params!$E$42*$W$14),5000),0)</f>
        <v>2480000</v>
      </c>
    </row>
    <row r="21" spans="1:21" ht="18" customHeight="1" x14ac:dyDescent="0.3">
      <c r="A21" s="43" t="s">
        <v>69</v>
      </c>
      <c r="B21" s="44">
        <f>ROUND(MROUND(MAX($W$4*EFS_Params!$I$19*POWER($A$8,EFS_Params!$J$19)*(1+$W$6)*(1+($W$2-1)*EFS_Params!$E$19),EFS_Params!$M$19)*(1+EFS_Params!$A$42*$W$14),5000),0)</f>
        <v>590000</v>
      </c>
      <c r="C21" s="45">
        <f>ROUND(MROUND(MAX($W$4*EFS_Params!$I$19*POWER($A$8,EFS_Params!$J$19)*(1+$W$6)*(1+($W$2-1)*EFS_Params!$E$19),EFS_Params!$M$19)*(1+EFS_Params!$B$42*$W$14),5000),0)</f>
        <v>720000</v>
      </c>
      <c r="D21" s="46">
        <f>ROUND(MROUND(MAX($W$4*EFS_Params!$I$19*POWER($A$8,EFS_Params!$J$19)*(1+$W$6)*(1+($W$2-1)*EFS_Params!$E$19),EFS_Params!$M$19)*(1+EFS_Params!$C$42*$W$14),5000),0)</f>
        <v>865000</v>
      </c>
      <c r="E21" s="45">
        <f>ROUND(MROUND(MAX($W$4*EFS_Params!$I$19*POWER($A$8,EFS_Params!$J$19)*(1+$W$6)*(1+($W$2-1)*EFS_Params!$E$19),EFS_Params!$M$19)*(1+EFS_Params!$D$42*$W$14),5000),0)</f>
        <v>1010000</v>
      </c>
      <c r="F21" s="45">
        <f>ROUND(MROUND(MAX($W$4*EFS_Params!$I$19*POWER($A$8,EFS_Params!$J$19)*(1+$W$6)*(1+($W$2-1)*EFS_Params!$E$19),EFS_Params!$M$19)*(1+EFS_Params!$E$42*$W$14),5000),0)</f>
        <v>1145000</v>
      </c>
      <c r="G21" s="44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(1+$I$8/100))*(1+EFS_Params!$A$42*$W$14),5000),0)</f>
        <v>1450000</v>
      </c>
      <c r="H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(1+$I$8/100))*(1+EFS_Params!$B$42*$W$14),5000),0)</f>
        <v>1775000</v>
      </c>
      <c r="I21" s="46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(1+$I$8/100))*(1+EFS_Params!$C$42*$W$14),5000),0)</f>
        <v>2130000</v>
      </c>
      <c r="J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(1+$I$8/100))*(1+EFS_Params!$D$42*$W$14),5000),0)</f>
        <v>2490000</v>
      </c>
      <c r="K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(1+$I$8/100))*(1+EFS_Params!$E$42*$W$14),5000),0)</f>
        <v>2815000</v>
      </c>
      <c r="L21" s="44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$10*(1+$I$8/100))*(1+EFS_Params!$A$42*$W$14),5000),0)</f>
        <v>1620000</v>
      </c>
      <c r="M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$10*(1+$I$8/100))*(1+EFS_Params!$B$42*$W$14),5000),0)</f>
        <v>1985000</v>
      </c>
      <c r="N21" s="46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$10*(1+$I$8/100))*(1+EFS_Params!$C$42*$W$14),5000),0)</f>
        <v>2385000</v>
      </c>
      <c r="O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$10*(1+$I$8/100))*(1+EFS_Params!$D$42*$W$14),5000),0)</f>
        <v>2785000</v>
      </c>
      <c r="P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$10*(1+$I$8/100))*(1+EFS_Params!$E$42*$W$14),5000),0)</f>
        <v>3150000</v>
      </c>
      <c r="Q21" s="44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$12*(1+$I$8/100))*(1+EFS_Params!$A$42*$W$14),5000),0)</f>
        <v>2135000</v>
      </c>
      <c r="R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$12*(1+$I$8/100))*(1+EFS_Params!$B$42*$W$14),5000),0)</f>
        <v>2615000</v>
      </c>
      <c r="S21" s="46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$12*(1+$I$8/100))*(1+EFS_Params!$C$42*$W$14),5000),0)</f>
        <v>3145000</v>
      </c>
      <c r="T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$12*(1+$I$8/100))*(1+EFS_Params!$D$42*$W$14),5000),0)</f>
        <v>3675000</v>
      </c>
      <c r="U21" s="45">
        <f>ROUND(MROUND((MAX($W$4*EFS_Params!$I$19*POWER($A$8,EFS_Params!$J$19)*(1+$W$6)*(1+($W$2-1)*EFS_Params!$E$19),EFS_Params!$M$19)+MAX($W$4*EFS_Params!$I$19*POWER($A$8,EFS_Params!$J$19)*(1+$W$6)*(1+($W$2-1)*EFS_Params!$E$19),EFS_Params!$M$19)*EFS_Params!$K$19*POWER($A$8,EFS_Params!$L$19)*(1+$W$8)*$W$12*(1+$I$8/100))*(1+EFS_Params!$E$42*$W$14),5000),0)</f>
        <v>4155000</v>
      </c>
    </row>
    <row r="22" spans="1:21" ht="7.5" customHeight="1" x14ac:dyDescent="0.3">
      <c r="A22" s="59" t="s">
        <v>70</v>
      </c>
      <c r="B22" s="60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</row>
    <row r="23" spans="1:21" ht="7.5" customHeight="1" x14ac:dyDescent="0.3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21.75" customHeight="1" x14ac:dyDescent="0.3">
      <c r="A24" s="68" t="str">
        <f>"Investment Operations ("&amp;TEXT(A8,"$#.0")&amp;"B AUM)"</f>
        <v>Investment Operations ($10.0B AUM)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</row>
    <row r="25" spans="1:21" ht="19.5" customHeight="1" x14ac:dyDescent="0.3">
      <c r="A25" s="31"/>
      <c r="B25" s="65" t="s">
        <v>51</v>
      </c>
      <c r="C25" s="64"/>
      <c r="D25" s="64"/>
      <c r="E25" s="64"/>
      <c r="F25" s="64"/>
      <c r="G25" s="66" t="s">
        <v>52</v>
      </c>
      <c r="H25" s="64"/>
      <c r="I25" s="64"/>
      <c r="J25" s="64"/>
      <c r="K25" s="64"/>
      <c r="L25" s="63" t="s">
        <v>53</v>
      </c>
      <c r="M25" s="64"/>
      <c r="N25" s="64"/>
      <c r="O25" s="64"/>
      <c r="P25" s="64"/>
      <c r="Q25" s="66" t="s">
        <v>54</v>
      </c>
      <c r="R25" s="64"/>
      <c r="S25" s="64"/>
      <c r="T25" s="64"/>
      <c r="U25" s="64"/>
    </row>
    <row r="26" spans="1:21" ht="19.5" customHeight="1" x14ac:dyDescent="0.3">
      <c r="A26" s="32" t="s">
        <v>55</v>
      </c>
      <c r="B26" s="33" t="s">
        <v>56</v>
      </c>
      <c r="C26" s="34" t="s">
        <v>57</v>
      </c>
      <c r="D26" s="34" t="s">
        <v>58</v>
      </c>
      <c r="E26" s="34" t="s">
        <v>59</v>
      </c>
      <c r="F26" s="34" t="s">
        <v>60</v>
      </c>
      <c r="G26" s="33" t="s">
        <v>56</v>
      </c>
      <c r="H26" s="34" t="s">
        <v>57</v>
      </c>
      <c r="I26" s="34" t="s">
        <v>58</v>
      </c>
      <c r="J26" s="34" t="s">
        <v>59</v>
      </c>
      <c r="K26" s="34" t="s">
        <v>60</v>
      </c>
      <c r="L26" s="33" t="s">
        <v>56</v>
      </c>
      <c r="M26" s="34" t="s">
        <v>57</v>
      </c>
      <c r="N26" s="34" t="s">
        <v>58</v>
      </c>
      <c r="O26" s="34" t="s">
        <v>59</v>
      </c>
      <c r="P26" s="34" t="s">
        <v>60</v>
      </c>
      <c r="Q26" s="33" t="s">
        <v>56</v>
      </c>
      <c r="R26" s="34" t="s">
        <v>57</v>
      </c>
      <c r="S26" s="34" t="s">
        <v>58</v>
      </c>
      <c r="T26" s="34" t="s">
        <v>59</v>
      </c>
      <c r="U26" s="34" t="s">
        <v>60</v>
      </c>
    </row>
    <row r="27" spans="1:21" ht="18" customHeight="1" x14ac:dyDescent="0.3">
      <c r="A27" s="35" t="s">
        <v>71</v>
      </c>
      <c r="B27" s="36">
        <f>ROUND(MROUND((MAX($W$4*EFS_Params!$I$12*POWER($A$8,EFS_Params!$J$12)*(1+$W$6)*(1+($W$2-1)*EFS_Params!$E$12),EFS_Params!$M$12)*IF($K$8="None",EFS_Params!$N$12,IF($K$8="Some",EFS_Params!$O$12,EFS_Params!$P$12)))*(1+EFS_Params!$A$42*$W$14),5000),0)</f>
        <v>45000</v>
      </c>
      <c r="C27" s="37">
        <f>ROUND(MROUND((MAX($W$4*EFS_Params!$I$12*POWER($A$8,EFS_Params!$J$12)*(1+$W$6)*(1+($W$2-1)*EFS_Params!$E$12),EFS_Params!$M$12)*IF($K$8="None",EFS_Params!$N$12,IF($K$8="Some",EFS_Params!$O$12,EFS_Params!$P$12)))*(1+EFS_Params!$B$42*$W$14),5000),0)</f>
        <v>55000</v>
      </c>
      <c r="D27" s="38">
        <f>ROUND(MROUND((MAX($W$4*EFS_Params!$I$12*POWER($A$8,EFS_Params!$J$12)*(1+$W$6)*(1+($W$2-1)*EFS_Params!$E$12),EFS_Params!$M$12)*IF($K$8="None",EFS_Params!$N$12,IF($K$8="Some",EFS_Params!$O$12,EFS_Params!$P$12)))*(1+EFS_Params!$C$42*$W$14),5000),0)</f>
        <v>70000</v>
      </c>
      <c r="E27" s="37">
        <f>ROUND(MROUND((MAX($W$4*EFS_Params!$I$12*POWER($A$8,EFS_Params!$J$12)*(1+$W$6)*(1+($W$2-1)*EFS_Params!$E$12),EFS_Params!$M$12)*IF($K$8="None",EFS_Params!$N$12,IF($K$8="Some",EFS_Params!$O$12,EFS_Params!$P$12)))*(1+EFS_Params!$D$42*$W$14),5000),0)</f>
        <v>80000</v>
      </c>
      <c r="F27" s="37">
        <f>ROUND(MROUND((MAX($W$4*EFS_Params!$I$12*POWER($A$8,EFS_Params!$J$12)*(1+$W$6)*(1+($W$2-1)*EFS_Params!$E$12),EFS_Params!$M$12)*IF($K$8="None",EFS_Params!$N$12,IF($K$8="Some",EFS_Params!$O$12,EFS_Params!$P$12)))*(1+EFS_Params!$E$42*$W$14),5000),0)</f>
        <v>90000</v>
      </c>
      <c r="G27" s="36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(1+$I$8/100))*(1+EFS_Params!$A$42*$W$14),5000),0)</f>
        <v>50000</v>
      </c>
      <c r="H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(1+$I$8/100))*(1+EFS_Params!$B$42*$W$14),5000),0)</f>
        <v>60000</v>
      </c>
      <c r="I27" s="38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(1+$I$8/100))*(1+EFS_Params!$C$42*$W$14),5000),0)</f>
        <v>70000</v>
      </c>
      <c r="J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(1+$I$8/100))*(1+EFS_Params!$D$42*$W$14),5000),0)</f>
        <v>80000</v>
      </c>
      <c r="K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(1+$I$8/100))*(1+EFS_Params!$E$42*$W$14),5000),0)</f>
        <v>95000</v>
      </c>
      <c r="L27" s="36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$10*(1+$I$8/100))*(1+EFS_Params!$A$42*$W$14),5000),0)</f>
        <v>50000</v>
      </c>
      <c r="M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$10*(1+$I$8/100))*(1+EFS_Params!$B$42*$W$14),5000),0)</f>
        <v>60000</v>
      </c>
      <c r="N27" s="38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$10*(1+$I$8/100))*(1+EFS_Params!$C$42*$W$14),5000),0)</f>
        <v>70000</v>
      </c>
      <c r="O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$10*(1+$I$8/100))*(1+EFS_Params!$D$42*$W$14),5000),0)</f>
        <v>85000</v>
      </c>
      <c r="P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$10*(1+$I$8/100))*(1+EFS_Params!$E$42*$W$14),5000),0)</f>
        <v>95000</v>
      </c>
      <c r="Q27" s="36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$12*(1+$I$8/100))*(1+EFS_Params!$A$42*$W$14),5000),0)</f>
        <v>50000</v>
      </c>
      <c r="R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$12*(1+$I$8/100))*(1+EFS_Params!$B$42*$W$14),5000),0)</f>
        <v>60000</v>
      </c>
      <c r="S27" s="38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$12*(1+$I$8/100))*(1+EFS_Params!$C$42*$W$14),5000),0)</f>
        <v>70000</v>
      </c>
      <c r="T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$12*(1+$I$8/100))*(1+EFS_Params!$D$42*$W$14),5000),0)</f>
        <v>85000</v>
      </c>
      <c r="U27" s="37">
        <f>ROUND(MROUND(((MAX($W$4*EFS_Params!$I$12*POWER($A$8,EFS_Params!$J$12)*(1+$W$6)*(1+($W$2-1)*EFS_Params!$E$12),EFS_Params!$M$12)*IF($K$8="None",EFS_Params!$N$12,IF($K$8="Some",EFS_Params!$O$12,EFS_Params!$P$12)))+((MAX($W$4*EFS_Params!$I$12*POWER($A$8,EFS_Params!$J$12)*(1+$W$6)*(1+($W$2-1)*EFS_Params!$E$12),EFS_Params!$M$12)*IF($K$8="None",EFS_Params!$N$12,IF($K$8="Some",EFS_Params!$O$12,EFS_Params!$P$12)))*IF($K$8="None",EFS_Params!$B$62,IF($K$8="Some",EFS_Params!$B$63,EFS_Params!$B$64))/POWER(50,EFS_Params!$B$66)*POWER($A$8,EFS_Params!$B$66)*(1+$W$8))*$W$12*(1+$I$8/100))*(1+EFS_Params!$E$42*$W$14),5000),0)</f>
        <v>95000</v>
      </c>
    </row>
    <row r="28" spans="1:21" ht="18" customHeight="1" x14ac:dyDescent="0.3">
      <c r="A28" s="40" t="s">
        <v>72</v>
      </c>
      <c r="B28" s="41">
        <f>ROUND(MROUND((MAX($W$4*EFS_Params!$I$13*POWER($A$8,EFS_Params!$J$13)*(1+$W$6)*(1+($W$2-1)*EFS_Params!$E$13),EFS_Params!$M$13)*IF($K$8="None",EFS_Params!$N$13,IF($K$8="Some",EFS_Params!$O$13,EFS_Params!$P$13)))*(1+EFS_Params!$A$42*$W$14),5000),0)</f>
        <v>60000</v>
      </c>
      <c r="C28" s="42">
        <f>ROUND(MROUND((MAX($W$4*EFS_Params!$I$13*POWER($A$8,EFS_Params!$J$13)*(1+$W$6)*(1+($W$2-1)*EFS_Params!$E$13),EFS_Params!$M$13)*IF($K$8="None",EFS_Params!$N$13,IF($K$8="Some",EFS_Params!$O$13,EFS_Params!$P$13)))*(1+EFS_Params!$B$42*$W$14),5000),0)</f>
        <v>75000</v>
      </c>
      <c r="D28" s="38">
        <f>ROUND(MROUND((MAX($W$4*EFS_Params!$I$13*POWER($A$8,EFS_Params!$J$13)*(1+$W$6)*(1+($W$2-1)*EFS_Params!$E$13),EFS_Params!$M$13)*IF($K$8="None",EFS_Params!$N$13,IF($K$8="Some",EFS_Params!$O$13,EFS_Params!$P$13)))*(1+EFS_Params!$C$42*$W$14),5000),0)</f>
        <v>90000</v>
      </c>
      <c r="E28" s="42">
        <f>ROUND(MROUND((MAX($W$4*EFS_Params!$I$13*POWER($A$8,EFS_Params!$J$13)*(1+$W$6)*(1+($W$2-1)*EFS_Params!$E$13),EFS_Params!$M$13)*IF($K$8="None",EFS_Params!$N$13,IF($K$8="Some",EFS_Params!$O$13,EFS_Params!$P$13)))*(1+EFS_Params!$D$42*$W$14),5000),0)</f>
        <v>105000</v>
      </c>
      <c r="F28" s="42">
        <f>ROUND(MROUND((MAX($W$4*EFS_Params!$I$13*POWER($A$8,EFS_Params!$J$13)*(1+$W$6)*(1+($W$2-1)*EFS_Params!$E$13),EFS_Params!$M$13)*IF($K$8="None",EFS_Params!$N$13,IF($K$8="Some",EFS_Params!$O$13,EFS_Params!$P$13)))*(1+EFS_Params!$E$42*$W$14),5000),0)</f>
        <v>115000</v>
      </c>
      <c r="G28" s="41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(1+$I$8/100))*(1+EFS_Params!$A$42*$W$14),5000),0)</f>
        <v>65000</v>
      </c>
      <c r="H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(1+$I$8/100))*(1+EFS_Params!$B$42*$W$14),5000),0)</f>
        <v>80000</v>
      </c>
      <c r="I28" s="38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(1+$I$8/100))*(1+EFS_Params!$C$42*$W$14),5000),0)</f>
        <v>95000</v>
      </c>
      <c r="J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(1+$I$8/100))*(1+EFS_Params!$D$42*$W$14),5000),0)</f>
        <v>110000</v>
      </c>
      <c r="K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(1+$I$8/100))*(1+EFS_Params!$E$42*$W$14),5000),0)</f>
        <v>125000</v>
      </c>
      <c r="L28" s="41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$10*(1+$I$8/100))*(1+EFS_Params!$A$42*$W$14),5000),0)</f>
        <v>65000</v>
      </c>
      <c r="M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$10*(1+$I$8/100))*(1+EFS_Params!$B$42*$W$14),5000),0)</f>
        <v>80000</v>
      </c>
      <c r="N28" s="38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$10*(1+$I$8/100))*(1+EFS_Params!$C$42*$W$14),5000),0)</f>
        <v>95000</v>
      </c>
      <c r="O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$10*(1+$I$8/100))*(1+EFS_Params!$D$42*$W$14),5000),0)</f>
        <v>110000</v>
      </c>
      <c r="P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$10*(1+$I$8/100))*(1+EFS_Params!$E$42*$W$14),5000),0)</f>
        <v>125000</v>
      </c>
      <c r="Q28" s="41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$12*(1+$I$8/100))*(1+EFS_Params!$A$42*$W$14),5000),0)</f>
        <v>65000</v>
      </c>
      <c r="R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$12*(1+$I$8/100))*(1+EFS_Params!$B$42*$W$14),5000),0)</f>
        <v>80000</v>
      </c>
      <c r="S28" s="38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$12*(1+$I$8/100))*(1+EFS_Params!$C$42*$W$14),5000),0)</f>
        <v>95000</v>
      </c>
      <c r="T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$12*(1+$I$8/100))*(1+EFS_Params!$D$42*$W$14),5000),0)</f>
        <v>115000</v>
      </c>
      <c r="U28" s="42">
        <f>ROUND(MROUND(((MAX($W$4*EFS_Params!$I$13*POWER($A$8,EFS_Params!$J$13)*(1+$W$6)*(1+($W$2-1)*EFS_Params!$E$13),EFS_Params!$M$13)*IF($K$8="None",EFS_Params!$N$13,IF($K$8="Some",EFS_Params!$O$13,EFS_Params!$P$13)))+((MAX($W$4*EFS_Params!$I$13*POWER($A$8,EFS_Params!$J$13)*(1+$W$6)*(1+($W$2-1)*EFS_Params!$E$13),EFS_Params!$M$13)*IF($K$8="None",EFS_Params!$N$13,IF($K$8="Some",EFS_Params!$O$13,EFS_Params!$P$13)))*IF($K$8="None",EFS_Params!$C$62,IF($K$8="Some",EFS_Params!$C$63,EFS_Params!$C$64))/POWER(50,EFS_Params!$B$66)*POWER($A$8,EFS_Params!$B$66)*(1+$W$8))*$W$12*(1+$I$8/100))*(1+EFS_Params!$E$42*$W$14),5000),0)</f>
        <v>130000</v>
      </c>
    </row>
    <row r="29" spans="1:21" ht="18" customHeight="1" x14ac:dyDescent="0.3">
      <c r="A29" s="35" t="s">
        <v>73</v>
      </c>
      <c r="B29" s="36">
        <f>ROUND(MROUND((MAX($W$4*EFS_Params!$I$14*POWER($A$8,EFS_Params!$J$14)*(1+$W$6)*(1+($W$2-1)*EFS_Params!$E$14),EFS_Params!$M$14)*IF($K$8="None",EFS_Params!$N$14,IF($K$8="Some",EFS_Params!$O$14,EFS_Params!$P$14)))*(1+EFS_Params!$A$42*$W$14),5000),0)</f>
        <v>80000</v>
      </c>
      <c r="C29" s="37">
        <f>ROUND(MROUND((MAX($W$4*EFS_Params!$I$14*POWER($A$8,EFS_Params!$J$14)*(1+$W$6)*(1+($W$2-1)*EFS_Params!$E$14),EFS_Params!$M$14)*IF($K$8="None",EFS_Params!$N$14,IF($K$8="Some",EFS_Params!$O$14,EFS_Params!$P$14)))*(1+EFS_Params!$B$42*$W$14),5000),0)</f>
        <v>95000</v>
      </c>
      <c r="D29" s="38">
        <f>ROUND(MROUND((MAX($W$4*EFS_Params!$I$14*POWER($A$8,EFS_Params!$J$14)*(1+$W$6)*(1+($W$2-1)*EFS_Params!$E$14),EFS_Params!$M$14)*IF($K$8="None",EFS_Params!$N$14,IF($K$8="Some",EFS_Params!$O$14,EFS_Params!$P$14)))*(1+EFS_Params!$C$42*$W$14),5000),0)</f>
        <v>115000</v>
      </c>
      <c r="E29" s="37">
        <f>ROUND(MROUND((MAX($W$4*EFS_Params!$I$14*POWER($A$8,EFS_Params!$J$14)*(1+$W$6)*(1+($W$2-1)*EFS_Params!$E$14),EFS_Params!$M$14)*IF($K$8="None",EFS_Params!$N$14,IF($K$8="Some",EFS_Params!$O$14,EFS_Params!$P$14)))*(1+EFS_Params!$D$42*$W$14),5000),0)</f>
        <v>135000</v>
      </c>
      <c r="F29" s="37">
        <f>ROUND(MROUND((MAX($W$4*EFS_Params!$I$14*POWER($A$8,EFS_Params!$J$14)*(1+$W$6)*(1+($W$2-1)*EFS_Params!$E$14),EFS_Params!$M$14)*IF($K$8="None",EFS_Params!$N$14,IF($K$8="Some",EFS_Params!$O$14,EFS_Params!$P$14)))*(1+EFS_Params!$E$42*$W$14),5000),0)</f>
        <v>155000</v>
      </c>
      <c r="G29" s="36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(1+$I$8/100))*(1+EFS_Params!$A$42*$W$14),5000),0)</f>
        <v>85000</v>
      </c>
      <c r="H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(1+$I$8/100))*(1+EFS_Params!$B$42*$W$14),5000),0)</f>
        <v>105000</v>
      </c>
      <c r="I29" s="38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(1+$I$8/100))*(1+EFS_Params!$C$42*$W$14),5000),0)</f>
        <v>125000</v>
      </c>
      <c r="J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(1+$I$8/100))*(1+EFS_Params!$D$42*$W$14),5000),0)</f>
        <v>150000</v>
      </c>
      <c r="K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(1+$I$8/100))*(1+EFS_Params!$E$42*$W$14),5000),0)</f>
        <v>165000</v>
      </c>
      <c r="L29" s="36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$10*(1+$I$8/100))*(1+EFS_Params!$A$42*$W$14),5000),0)</f>
        <v>85000</v>
      </c>
      <c r="M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$10*(1+$I$8/100))*(1+EFS_Params!$B$42*$W$14),5000),0)</f>
        <v>105000</v>
      </c>
      <c r="N29" s="38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$10*(1+$I$8/100))*(1+EFS_Params!$C$42*$W$14),5000),0)</f>
        <v>130000</v>
      </c>
      <c r="O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$10*(1+$I$8/100))*(1+EFS_Params!$D$42*$W$14),5000),0)</f>
        <v>150000</v>
      </c>
      <c r="P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$10*(1+$I$8/100))*(1+EFS_Params!$E$42*$W$14),5000),0)</f>
        <v>170000</v>
      </c>
      <c r="Q29" s="36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$12*(1+$I$8/100))*(1+EFS_Params!$A$42*$W$14),5000),0)</f>
        <v>90000</v>
      </c>
      <c r="R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$12*(1+$I$8/100))*(1+EFS_Params!$B$42*$W$14),5000),0)</f>
        <v>110000</v>
      </c>
      <c r="S29" s="38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$12*(1+$I$8/100))*(1+EFS_Params!$C$42*$W$14),5000),0)</f>
        <v>135000</v>
      </c>
      <c r="T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$12*(1+$I$8/100))*(1+EFS_Params!$D$42*$W$14),5000),0)</f>
        <v>155000</v>
      </c>
      <c r="U29" s="37">
        <f>ROUND(MROUND(((MAX($W$4*EFS_Params!$I$14*POWER($A$8,EFS_Params!$J$14)*(1+$W$6)*(1+($W$2-1)*EFS_Params!$E$14),EFS_Params!$M$14)*IF($K$8="None",EFS_Params!$N$14,IF($K$8="Some",EFS_Params!$O$14,EFS_Params!$P$14)))+((MAX($W$4*EFS_Params!$I$14*POWER($A$8,EFS_Params!$J$14)*(1+$W$6)*(1+($W$2-1)*EFS_Params!$E$14),EFS_Params!$M$14)*IF($K$8="None",EFS_Params!$N$14,IF($K$8="Some",EFS_Params!$O$14,EFS_Params!$P$14)))*IF($K$8="None",EFS_Params!$D$62,IF($K$8="Some",EFS_Params!$D$63,EFS_Params!$D$64))/POWER(50,EFS_Params!$B$66)*POWER($A$8,EFS_Params!$B$66)*(1+$W$8))*$W$12*(1+$I$8/100))*(1+EFS_Params!$E$42*$W$14),5000),0)</f>
        <v>180000</v>
      </c>
    </row>
    <row r="30" spans="1:21" ht="18" customHeight="1" x14ac:dyDescent="0.3">
      <c r="A30" s="40" t="s">
        <v>74</v>
      </c>
      <c r="B30" s="41">
        <f>ROUND(MROUND((MAX($W$4*EFS_Params!$I$15*POWER($A$8,EFS_Params!$J$15)*(1+$W$6)*(1+($W$2-1)*EFS_Params!$E$15),EFS_Params!$M$15)*IF($K$8="None",EFS_Params!$N$15,IF($K$8="Some",EFS_Params!$O$15,EFS_Params!$P$15)))*(1+EFS_Params!$A$42*$W$14),5000),0)</f>
        <v>135000</v>
      </c>
      <c r="C30" s="42">
        <f>ROUND(MROUND((MAX($W$4*EFS_Params!$I$15*POWER($A$8,EFS_Params!$J$15)*(1+$W$6)*(1+($W$2-1)*EFS_Params!$E$15),EFS_Params!$M$15)*IF($K$8="None",EFS_Params!$N$15,IF($K$8="Some",EFS_Params!$O$15,EFS_Params!$P$15)))*(1+EFS_Params!$B$42*$W$14),5000),0)</f>
        <v>170000</v>
      </c>
      <c r="D30" s="38">
        <f>ROUND(MROUND((MAX($W$4*EFS_Params!$I$15*POWER($A$8,EFS_Params!$J$15)*(1+$W$6)*(1+($W$2-1)*EFS_Params!$E$15),EFS_Params!$M$15)*IF($K$8="None",EFS_Params!$N$15,IF($K$8="Some",EFS_Params!$O$15,EFS_Params!$P$15)))*(1+EFS_Params!$C$42*$W$14),5000),0)</f>
        <v>200000</v>
      </c>
      <c r="E30" s="42">
        <f>ROUND(MROUND((MAX($W$4*EFS_Params!$I$15*POWER($A$8,EFS_Params!$J$15)*(1+$W$6)*(1+($W$2-1)*EFS_Params!$E$15),EFS_Params!$M$15)*IF($K$8="None",EFS_Params!$N$15,IF($K$8="Some",EFS_Params!$O$15,EFS_Params!$P$15)))*(1+EFS_Params!$D$42*$W$14),5000),0)</f>
        <v>235000</v>
      </c>
      <c r="F30" s="42">
        <f>ROUND(MROUND((MAX($W$4*EFS_Params!$I$15*POWER($A$8,EFS_Params!$J$15)*(1+$W$6)*(1+($W$2-1)*EFS_Params!$E$15),EFS_Params!$M$15)*IF($K$8="None",EFS_Params!$N$15,IF($K$8="Some",EFS_Params!$O$15,EFS_Params!$P$15)))*(1+EFS_Params!$E$42*$W$14),5000),0)</f>
        <v>265000</v>
      </c>
      <c r="G30" s="41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(1+$I$8/100))*(1+EFS_Params!$A$42*$W$14),5000),0)</f>
        <v>155000</v>
      </c>
      <c r="H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(1+$I$8/100))*(1+EFS_Params!$B$42*$W$14),5000),0)</f>
        <v>185000</v>
      </c>
      <c r="I30" s="38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(1+$I$8/100))*(1+EFS_Params!$C$42*$W$14),5000),0)</f>
        <v>225000</v>
      </c>
      <c r="J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(1+$I$8/100))*(1+EFS_Params!$D$42*$W$14),5000),0)</f>
        <v>265000</v>
      </c>
      <c r="K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(1+$I$8/100))*(1+EFS_Params!$E$42*$W$14),5000),0)</f>
        <v>300000</v>
      </c>
      <c r="L30" s="41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$10*(1+$I$8/100))*(1+EFS_Params!$A$42*$W$14),5000),0)</f>
        <v>155000</v>
      </c>
      <c r="M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$10*(1+$I$8/100))*(1+EFS_Params!$B$42*$W$14),5000),0)</f>
        <v>190000</v>
      </c>
      <c r="N30" s="38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$10*(1+$I$8/100))*(1+EFS_Params!$C$42*$W$14),5000),0)</f>
        <v>230000</v>
      </c>
      <c r="O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$10*(1+$I$8/100))*(1+EFS_Params!$D$42*$W$14),5000),0)</f>
        <v>270000</v>
      </c>
      <c r="P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$10*(1+$I$8/100))*(1+EFS_Params!$E$42*$W$14),5000),0)</f>
        <v>305000</v>
      </c>
      <c r="Q30" s="41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$12*(1+$I$8/100))*(1+EFS_Params!$A$42*$W$14),5000),0)</f>
        <v>165000</v>
      </c>
      <c r="R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$12*(1+$I$8/100))*(1+EFS_Params!$B$42*$W$14),5000),0)</f>
        <v>205000</v>
      </c>
      <c r="S30" s="38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$12*(1+$I$8/100))*(1+EFS_Params!$C$42*$W$14),5000),0)</f>
        <v>245000</v>
      </c>
      <c r="T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$12*(1+$I$8/100))*(1+EFS_Params!$D$42*$W$14),5000),0)</f>
        <v>285000</v>
      </c>
      <c r="U30" s="42">
        <f>ROUND(MROUND(((MAX($W$4*EFS_Params!$I$15*POWER($A$8,EFS_Params!$J$15)*(1+$W$6)*(1+($W$2-1)*EFS_Params!$E$15),EFS_Params!$M$15)*IF($K$8="None",EFS_Params!$N$15,IF($K$8="Some",EFS_Params!$O$15,EFS_Params!$P$15)))+((MAX($W$4*EFS_Params!$I$15*POWER($A$8,EFS_Params!$J$15)*(1+$W$6)*(1+($W$2-1)*EFS_Params!$E$15),EFS_Params!$M$15)*IF($K$8="None",EFS_Params!$N$15,IF($K$8="Some",EFS_Params!$O$15,EFS_Params!$P$15)))*IF($K$8="None",EFS_Params!$E$62,IF($K$8="Some",EFS_Params!$E$63,EFS_Params!$E$64))/POWER(50,EFS_Params!$B$66)*POWER($A$8,EFS_Params!$B$66)*(1+$W$8))*$W$12*(1+$I$8/100))*(1+EFS_Params!$E$42*$W$14),5000),0)</f>
        <v>320000</v>
      </c>
    </row>
    <row r="31" spans="1:21" ht="18" customHeight="1" x14ac:dyDescent="0.3">
      <c r="A31" s="35" t="s">
        <v>75</v>
      </c>
      <c r="B31" s="36">
        <f>ROUND(MROUND((MAX($W$4*EFS_Params!$I$16*POWER($A$8,EFS_Params!$J$16)*(1+$W$6)*(1+($W$2-1)*EFS_Params!$E$16),EFS_Params!$M$16)*IF($K$8="None",EFS_Params!$N$16,IF($K$8="Some",EFS_Params!$O$16,EFS_Params!$P$16)))*(1+EFS_Params!$A$42*$W$14),5000),0)</f>
        <v>175000</v>
      </c>
      <c r="C31" s="37">
        <f>ROUND(MROUND((MAX($W$4*EFS_Params!$I$16*POWER($A$8,EFS_Params!$J$16)*(1+$W$6)*(1+($W$2-1)*EFS_Params!$E$16),EFS_Params!$M$16)*IF($K$8="None",EFS_Params!$N$16,IF($K$8="Some",EFS_Params!$O$16,EFS_Params!$P$16)))*(1+EFS_Params!$B$42*$W$14),5000),0)</f>
        <v>215000</v>
      </c>
      <c r="D31" s="38">
        <f>ROUND(MROUND((MAX($W$4*EFS_Params!$I$16*POWER($A$8,EFS_Params!$J$16)*(1+$W$6)*(1+($W$2-1)*EFS_Params!$E$16),EFS_Params!$M$16)*IF($K$8="None",EFS_Params!$N$16,IF($K$8="Some",EFS_Params!$O$16,EFS_Params!$P$16)))*(1+EFS_Params!$C$42*$W$14),5000),0)</f>
        <v>260000</v>
      </c>
      <c r="E31" s="37">
        <f>ROUND(MROUND((MAX($W$4*EFS_Params!$I$16*POWER($A$8,EFS_Params!$J$16)*(1+$W$6)*(1+($W$2-1)*EFS_Params!$E$16),EFS_Params!$M$16)*IF($K$8="None",EFS_Params!$N$16,IF($K$8="Some",EFS_Params!$O$16,EFS_Params!$P$16)))*(1+EFS_Params!$D$42*$W$14),5000),0)</f>
        <v>305000</v>
      </c>
      <c r="F31" s="37">
        <f>ROUND(MROUND((MAX($W$4*EFS_Params!$I$16*POWER($A$8,EFS_Params!$J$16)*(1+$W$6)*(1+($W$2-1)*EFS_Params!$E$16),EFS_Params!$M$16)*IF($K$8="None",EFS_Params!$N$16,IF($K$8="Some",EFS_Params!$O$16,EFS_Params!$P$16)))*(1+EFS_Params!$E$42*$W$14),5000),0)</f>
        <v>345000</v>
      </c>
      <c r="G31" s="36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(1+$I$8/100))*(1+EFS_Params!$A$42*$W$14),5000),0)</f>
        <v>205000</v>
      </c>
      <c r="H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(1+$I$8/100))*(1+EFS_Params!$B$42*$W$14),5000),0)</f>
        <v>255000</v>
      </c>
      <c r="I31" s="38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(1+$I$8/100))*(1+EFS_Params!$C$42*$W$14),5000),0)</f>
        <v>305000</v>
      </c>
      <c r="J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(1+$I$8/100))*(1+EFS_Params!$D$42*$W$14),5000),0)</f>
        <v>355000</v>
      </c>
      <c r="K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(1+$I$8/100))*(1+EFS_Params!$E$42*$W$14),5000),0)</f>
        <v>400000</v>
      </c>
      <c r="L31" s="36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$10*(1+$I$8/100))*(1+EFS_Params!$A$42*$W$14),5000),0)</f>
        <v>215000</v>
      </c>
      <c r="M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$10*(1+$I$8/100))*(1+EFS_Params!$B$42*$W$14),5000),0)</f>
        <v>260000</v>
      </c>
      <c r="N31" s="38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$10*(1+$I$8/100))*(1+EFS_Params!$C$42*$W$14),5000),0)</f>
        <v>315000</v>
      </c>
      <c r="O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$10*(1+$I$8/100))*(1+EFS_Params!$D$42*$W$14),5000),0)</f>
        <v>365000</v>
      </c>
      <c r="P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$10*(1+$I$8/100))*(1+EFS_Params!$E$42*$W$14),5000),0)</f>
        <v>415000</v>
      </c>
      <c r="Q31" s="36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$12*(1+$I$8/100))*(1+EFS_Params!$A$42*$W$14),5000),0)</f>
        <v>230000</v>
      </c>
      <c r="R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$12*(1+$I$8/100))*(1+EFS_Params!$B$42*$W$14),5000),0)</f>
        <v>280000</v>
      </c>
      <c r="S31" s="38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$12*(1+$I$8/100))*(1+EFS_Params!$C$42*$W$14),5000),0)</f>
        <v>340000</v>
      </c>
      <c r="T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$12*(1+$I$8/100))*(1+EFS_Params!$D$42*$W$14),5000),0)</f>
        <v>395000</v>
      </c>
      <c r="U31" s="37">
        <f>ROUND(MROUND(((MAX($W$4*EFS_Params!$I$16*POWER($A$8,EFS_Params!$J$16)*(1+$W$6)*(1+($W$2-1)*EFS_Params!$E$16),EFS_Params!$M$16)*IF($K$8="None",EFS_Params!$N$16,IF($K$8="Some",EFS_Params!$O$16,EFS_Params!$P$16)))+((MAX($W$4*EFS_Params!$I$16*POWER($A$8,EFS_Params!$J$16)*(1+$W$6)*(1+($W$2-1)*EFS_Params!$E$16),EFS_Params!$M$16)*IF($K$8="None",EFS_Params!$N$16,IF($K$8="Some",EFS_Params!$O$16,EFS_Params!$P$16)))*IF($K$8="None",EFS_Params!$F$62,IF($K$8="Some",EFS_Params!$F$63,EFS_Params!$F$64))/POWER(50,EFS_Params!$B$66)*POWER($A$8,EFS_Params!$B$66)*(1+$W$8))*$W$12*(1+$I$8/100))*(1+EFS_Params!$E$42*$W$14),5000),0)</f>
        <v>450000</v>
      </c>
    </row>
    <row r="32" spans="1:21" ht="18" customHeight="1" x14ac:dyDescent="0.3">
      <c r="A32" s="40" t="s">
        <v>76</v>
      </c>
      <c r="B32" s="41">
        <f>ROUND(MROUND((MAX($W$4*EFS_Params!$I$17*POWER($A$8,EFS_Params!$J$17)*(1+$W$6)*(1+($W$2-1)*EFS_Params!$E$17),EFS_Params!$M$17)*IF($K$8="None",EFS_Params!$N$17,IF($K$8="Some",EFS_Params!$O$17,EFS_Params!$P$17)))*(1+EFS_Params!$A$42*$W$14),5000),0)</f>
        <v>235000</v>
      </c>
      <c r="C32" s="42">
        <f>ROUND(MROUND((MAX($W$4*EFS_Params!$I$17*POWER($A$8,EFS_Params!$J$17)*(1+$W$6)*(1+($W$2-1)*EFS_Params!$E$17),EFS_Params!$M$17)*IF($K$8="None",EFS_Params!$N$17,IF($K$8="Some",EFS_Params!$O$17,EFS_Params!$P$17)))*(1+EFS_Params!$B$42*$W$14),5000),0)</f>
        <v>285000</v>
      </c>
      <c r="D32" s="38">
        <f>ROUND(MROUND((MAX($W$4*EFS_Params!$I$17*POWER($A$8,EFS_Params!$J$17)*(1+$W$6)*(1+($W$2-1)*EFS_Params!$E$17),EFS_Params!$M$17)*IF($K$8="None",EFS_Params!$N$17,IF($K$8="Some",EFS_Params!$O$17,EFS_Params!$P$17)))*(1+EFS_Params!$C$42*$W$14),5000),0)</f>
        <v>345000</v>
      </c>
      <c r="E32" s="42">
        <f>ROUND(MROUND((MAX($W$4*EFS_Params!$I$17*POWER($A$8,EFS_Params!$J$17)*(1+$W$6)*(1+($W$2-1)*EFS_Params!$E$17),EFS_Params!$M$17)*IF($K$8="None",EFS_Params!$N$17,IF($K$8="Some",EFS_Params!$O$17,EFS_Params!$P$17)))*(1+EFS_Params!$D$42*$W$14),5000),0)</f>
        <v>405000</v>
      </c>
      <c r="F32" s="42">
        <f>ROUND(MROUND((MAX($W$4*EFS_Params!$I$17*POWER($A$8,EFS_Params!$J$17)*(1+$W$6)*(1+($W$2-1)*EFS_Params!$E$17),EFS_Params!$M$17)*IF($K$8="None",EFS_Params!$N$17,IF($K$8="Some",EFS_Params!$O$17,EFS_Params!$P$17)))*(1+EFS_Params!$E$42*$W$14),5000),0)</f>
        <v>455000</v>
      </c>
      <c r="G32" s="41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(1+$I$8/100))*(1+EFS_Params!$A$42*$W$14),5000),0)</f>
        <v>290000</v>
      </c>
      <c r="H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(1+$I$8/100))*(1+EFS_Params!$B$42*$W$14),5000),0)</f>
        <v>355000</v>
      </c>
      <c r="I32" s="38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(1+$I$8/100))*(1+EFS_Params!$C$42*$W$14),5000),0)</f>
        <v>425000</v>
      </c>
      <c r="J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(1+$I$8/100))*(1+EFS_Params!$D$42*$W$14),5000),0)</f>
        <v>495000</v>
      </c>
      <c r="K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(1+$I$8/100))*(1+EFS_Params!$E$42*$W$14),5000),0)</f>
        <v>560000</v>
      </c>
      <c r="L32" s="41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$10*(1+$I$8/100))*(1+EFS_Params!$A$42*$W$14),5000),0)</f>
        <v>300000</v>
      </c>
      <c r="M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$10*(1+$I$8/100))*(1+EFS_Params!$B$42*$W$14),5000),0)</f>
        <v>365000</v>
      </c>
      <c r="N32" s="38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$10*(1+$I$8/100))*(1+EFS_Params!$C$42*$W$14),5000),0)</f>
        <v>440000</v>
      </c>
      <c r="O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$10*(1+$I$8/100))*(1+EFS_Params!$D$42*$W$14),5000),0)</f>
        <v>515000</v>
      </c>
      <c r="P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$10*(1+$I$8/100))*(1+EFS_Params!$E$42*$W$14),5000),0)</f>
        <v>580000</v>
      </c>
      <c r="Q32" s="41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$12*(1+$I$8/100))*(1+EFS_Params!$A$42*$W$14),5000),0)</f>
        <v>330000</v>
      </c>
      <c r="R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$12*(1+$I$8/100))*(1+EFS_Params!$B$42*$W$14),5000),0)</f>
        <v>405000</v>
      </c>
      <c r="S32" s="38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$12*(1+$I$8/100))*(1+EFS_Params!$C$42*$W$14),5000),0)</f>
        <v>485000</v>
      </c>
      <c r="T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$12*(1+$I$8/100))*(1+EFS_Params!$D$42*$W$14),5000),0)</f>
        <v>570000</v>
      </c>
      <c r="U32" s="42">
        <f>ROUND(MROUND(((MAX($W$4*EFS_Params!$I$17*POWER($A$8,EFS_Params!$J$17)*(1+$W$6)*(1+($W$2-1)*EFS_Params!$E$17),EFS_Params!$M$17)*IF($K$8="None",EFS_Params!$N$17,IF($K$8="Some",EFS_Params!$O$17,EFS_Params!$P$17)))+((MAX($W$4*EFS_Params!$I$17*POWER($A$8,EFS_Params!$J$17)*(1+$W$6)*(1+($W$2-1)*EFS_Params!$E$17),EFS_Params!$M$17)*IF($K$8="None",EFS_Params!$N$17,IF($K$8="Some",EFS_Params!$O$17,EFS_Params!$P$17)))*IF($K$8="None",EFS_Params!$G$62,IF($K$8="Some",EFS_Params!$G$63,EFS_Params!$G$64))/POWER(50,EFS_Params!$B$66)*POWER($A$8,EFS_Params!$B$66)*(1+$W$8))*$W$12*(1+$I$8/100))*(1+EFS_Params!$E$42*$W$14),5000),0)</f>
        <v>645000</v>
      </c>
    </row>
    <row r="33" spans="1:21" ht="7.5" customHeight="1" x14ac:dyDescent="0.3">
      <c r="A33" s="35" t="s">
        <v>77</v>
      </c>
      <c r="B33" s="36">
        <f>ROUND(MROUND((MAX($W$4*EFS_Params!$I$18*POWER($A$8,EFS_Params!$J$18)*(1+$W$6)*(1+($W$2-1)*EFS_Params!$E$18),EFS_Params!$M$18)*IF($K$8="None",EFS_Params!$N$18,IF($K$8="Some",EFS_Params!$O$18,EFS_Params!$P$18)))*(1+EFS_Params!$A$42*$W$14),5000),0)</f>
        <v>300000</v>
      </c>
      <c r="C33" s="37">
        <f>ROUND(MROUND((MAX($W$4*EFS_Params!$I$18*POWER($A$8,EFS_Params!$J$18)*(1+$W$6)*(1+($W$2-1)*EFS_Params!$E$18),EFS_Params!$M$18)*IF($K$8="None",EFS_Params!$N$18,IF($K$8="Some",EFS_Params!$O$18,EFS_Params!$P$18)))*(1+EFS_Params!$B$42*$W$14),5000),0)</f>
        <v>370000</v>
      </c>
      <c r="D33" s="38">
        <f>ROUND(MROUND((MAX($W$4*EFS_Params!$I$18*POWER($A$8,EFS_Params!$J$18)*(1+$W$6)*(1+($W$2-1)*EFS_Params!$E$18),EFS_Params!$M$18)*IF($K$8="None",EFS_Params!$N$18,IF($K$8="Some",EFS_Params!$O$18,EFS_Params!$P$18)))*(1+EFS_Params!$C$42*$W$14),5000),0)</f>
        <v>445000</v>
      </c>
      <c r="E33" s="37">
        <f>ROUND(MROUND((MAX($W$4*EFS_Params!$I$18*POWER($A$8,EFS_Params!$J$18)*(1+$W$6)*(1+($W$2-1)*EFS_Params!$E$18),EFS_Params!$M$18)*IF($K$8="None",EFS_Params!$N$18,IF($K$8="Some",EFS_Params!$O$18,EFS_Params!$P$18)))*(1+EFS_Params!$D$42*$W$14),5000),0)</f>
        <v>520000</v>
      </c>
      <c r="F33" s="37">
        <f>ROUND(MROUND((MAX($W$4*EFS_Params!$I$18*POWER($A$8,EFS_Params!$J$18)*(1+$W$6)*(1+($W$2-1)*EFS_Params!$E$18),EFS_Params!$M$18)*IF($K$8="None",EFS_Params!$N$18,IF($K$8="Some",EFS_Params!$O$18,EFS_Params!$P$18)))*(1+EFS_Params!$E$42*$W$14),5000),0)</f>
        <v>585000</v>
      </c>
      <c r="G33" s="36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(1+$I$8/100))*(1+EFS_Params!$A$42*$W$14),5000),0)</f>
        <v>590000</v>
      </c>
      <c r="H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(1+$I$8/100))*(1+EFS_Params!$B$42*$W$14),5000),0)</f>
        <v>720000</v>
      </c>
      <c r="I33" s="38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(1+$I$8/100))*(1+EFS_Params!$C$42*$W$14),5000),0)</f>
        <v>865000</v>
      </c>
      <c r="J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(1+$I$8/100))*(1+EFS_Params!$D$42*$W$14),5000),0)</f>
        <v>1015000</v>
      </c>
      <c r="K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(1+$I$8/100))*(1+EFS_Params!$E$42*$W$14),5000),0)</f>
        <v>1145000</v>
      </c>
      <c r="L33" s="36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$10*(1+$I$8/100))*(1+EFS_Params!$A$42*$W$14),5000),0)</f>
        <v>645000</v>
      </c>
      <c r="M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$10*(1+$I$8/100))*(1+EFS_Params!$B$42*$W$14),5000),0)</f>
        <v>790000</v>
      </c>
      <c r="N33" s="38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$10*(1+$I$8/100))*(1+EFS_Params!$C$42*$W$14),5000),0)</f>
        <v>950000</v>
      </c>
      <c r="O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$10*(1+$I$8/100))*(1+EFS_Params!$D$42*$W$14),5000),0)</f>
        <v>1110000</v>
      </c>
      <c r="P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$10*(1+$I$8/100))*(1+EFS_Params!$E$42*$W$14),5000),0)</f>
        <v>1255000</v>
      </c>
      <c r="Q33" s="36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$12*(1+$I$8/100))*(1+EFS_Params!$A$42*$W$14),5000),0)</f>
        <v>820000</v>
      </c>
      <c r="R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$12*(1+$I$8/100))*(1+EFS_Params!$B$42*$W$14),5000),0)</f>
        <v>1005000</v>
      </c>
      <c r="S33" s="38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$12*(1+$I$8/100))*(1+EFS_Params!$C$42*$W$14),5000),0)</f>
        <v>1205000</v>
      </c>
      <c r="T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$12*(1+$I$8/100))*(1+EFS_Params!$D$42*$W$14),5000),0)</f>
        <v>1410000</v>
      </c>
      <c r="U33" s="37">
        <f>ROUND(MROUND(((MAX($W$4*EFS_Params!$I$18*POWER($A$8,EFS_Params!$J$18)*(1+$W$6)*(1+($W$2-1)*EFS_Params!$E$18),EFS_Params!$M$18)*IF($K$8="None",EFS_Params!$N$18,IF($K$8="Some",EFS_Params!$O$18,EFS_Params!$P$18)))+((MAX($W$4*EFS_Params!$I$18*POWER($A$8,EFS_Params!$J$18)*(1+$W$6)*(1+($W$2-1)*EFS_Params!$E$18),EFS_Params!$M$18)*IF($K$8="None",EFS_Params!$N$18,IF($K$8="Some",EFS_Params!$O$18,EFS_Params!$P$18)))*IF($K$8="None",EFS_Params!$H$62,IF($K$8="Some",EFS_Params!$H$63,EFS_Params!$H$64))/POWER(50,EFS_Params!$B$66)*POWER($A$8,EFS_Params!$B$66)*(1+$W$8))*$W$12*(1+$I$8/100))*(1+EFS_Params!$E$42*$W$14),5000),0)</f>
        <v>1590000</v>
      </c>
    </row>
    <row r="34" spans="1:21" ht="15.75" customHeight="1" x14ac:dyDescent="0.3">
      <c r="A34" s="62" t="s">
        <v>78</v>
      </c>
      <c r="B34" s="60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</row>
  </sheetData>
  <sheetProtection password="2288" sheet="1" objects="1" scenarios="1" formatCells="0" formatColumns="0" formatRows="0" sort="0" autoFilter="0"/>
  <mergeCells count="18">
    <mergeCell ref="A1:U1"/>
    <mergeCell ref="A24:U24"/>
    <mergeCell ref="Q12:U12"/>
    <mergeCell ref="G12:K12"/>
    <mergeCell ref="A2:U2"/>
    <mergeCell ref="A11:U11"/>
    <mergeCell ref="A5:U5"/>
    <mergeCell ref="D9:F9"/>
    <mergeCell ref="D7:F7"/>
    <mergeCell ref="D8:F8"/>
    <mergeCell ref="A22:U22"/>
    <mergeCell ref="A34:U34"/>
    <mergeCell ref="L12:P12"/>
    <mergeCell ref="B12:F12"/>
    <mergeCell ref="Q25:U25"/>
    <mergeCell ref="B25:F25"/>
    <mergeCell ref="L25:P25"/>
    <mergeCell ref="G25:K25"/>
  </mergeCells>
  <dataValidations count="5">
    <dataValidation type="list" sqref="D8" xr:uid="{00000000-0002-0000-0100-000000000000}">
      <formula1>"National Average,New York City,San Francisco,Boston,Washington DC,Dallas/Atlanta"</formula1>
      <formula2>0</formula2>
    </dataValidation>
    <dataValidation type="decimal" showErrorMessage="1" errorTitle="AUM Out of Range" error="AUM must be between $1B and $50B" sqref="A8" xr:uid="{00000000-0002-0000-0100-000001000000}">
      <formula1>1</formula1>
      <formula2>50</formula2>
    </dataValidation>
    <dataValidation type="list" errorTitle="Invalid Pool Adjustment" error="Select a value between -30 and +30" sqref="I8" xr:uid="{00000000-0002-0000-0100-000002000000}">
      <formula1>"-30,-25,-20,-15,-10,-5,-4,-3,-2,-1,0,1,2,3,4,5,10,15,20,25,30"</formula1>
      <formula2>0</formula2>
    </dataValidation>
    <dataValidation type="list" sqref="G8" xr:uid="{00000000-0002-0000-0100-000003000000}">
      <formula1>"1,2,3,4,5"</formula1>
      <formula2>0</formula2>
    </dataValidation>
    <dataValidation type="list" sqref="K8" xr:uid="{00000000-0002-0000-0100-000004000000}">
      <formula1>"None,Some,Full"</formula1>
      <formula2>0</formula2>
    </dataValidation>
  </dataValidations>
  <hyperlinks>
    <hyperlink ref="A1" r:id="rId1" xr:uid="{00000000-0004-0000-0100-000000000000}"/>
    <hyperlink ref="A34" r:id="rId2" display="© 2026 Michael Oak Advisors, LLC --- www.michaeloak.com" xr:uid="{00000000-0004-0000-0100-000001000000}"/>
  </hyperlinks>
  <printOptions horizontalCentered="1"/>
  <pageMargins left="0.75" right="0.75" top="1" bottom="0.84722222222222199" header="0.511811023622047" footer="0.511811023622047"/>
  <pageSetup orientation="landscape" horizontalDpi="300" verticalDpi="300"/>
  <colBreaks count="3" manualBreakCount="3">
    <brk id="6" max="1048575" man="1"/>
    <brk id="11" max="1048575" man="1"/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1"/>
  <sheetViews>
    <sheetView showGridLines="0" zoomScaleNormal="100" workbookViewId="0"/>
  </sheetViews>
  <sheetFormatPr defaultColWidth="8.88671875" defaultRowHeight="14.25" customHeight="1" x14ac:dyDescent="0.3"/>
  <cols>
    <col min="1" max="1" width="20" style="6" customWidth="1"/>
    <col min="2" max="3" width="14" style="6" customWidth="1"/>
    <col min="4" max="6" width="14" customWidth="1"/>
    <col min="7" max="7" width="14" style="6" customWidth="1"/>
    <col min="8" max="8" width="14" customWidth="1"/>
    <col min="9" max="17" width="8.88671875" style="6" customWidth="1"/>
    <col min="18" max="16384" width="8.88671875" style="6"/>
  </cols>
  <sheetData>
    <row r="1" spans="1:16" ht="21.75" customHeight="1" x14ac:dyDescent="0.3">
      <c r="A1" s="5" t="s">
        <v>79</v>
      </c>
      <c r="B1" s="5"/>
      <c r="C1" s="5"/>
      <c r="D1" s="5"/>
      <c r="E1" s="5"/>
      <c r="F1" s="5"/>
      <c r="G1" s="5"/>
      <c r="H1" s="5"/>
    </row>
    <row r="2" spans="1:16" ht="19.5" customHeight="1" x14ac:dyDescent="0.3">
      <c r="A2" s="7" t="s">
        <v>80</v>
      </c>
      <c r="B2" s="8" t="s">
        <v>81</v>
      </c>
      <c r="C2" s="8"/>
      <c r="D2" s="8"/>
      <c r="E2" s="8"/>
      <c r="F2" s="8"/>
      <c r="G2" s="8"/>
      <c r="H2" s="8"/>
    </row>
    <row r="3" spans="1:16" ht="14.25" customHeight="1" x14ac:dyDescent="0.3">
      <c r="A3" s="9" t="s">
        <v>42</v>
      </c>
      <c r="B3" s="10">
        <v>1</v>
      </c>
      <c r="C3" s="11"/>
      <c r="D3" s="11"/>
      <c r="E3" s="11"/>
      <c r="F3" s="11"/>
      <c r="G3" s="11"/>
      <c r="H3" s="11"/>
    </row>
    <row r="4" spans="1:16" ht="14.25" customHeight="1" x14ac:dyDescent="0.3">
      <c r="A4" s="9" t="s">
        <v>82</v>
      </c>
      <c r="B4" s="10">
        <v>1.2</v>
      </c>
      <c r="C4" s="11"/>
      <c r="D4" s="11"/>
      <c r="E4" s="11"/>
      <c r="F4" s="11"/>
      <c r="G4" s="11"/>
      <c r="H4" s="11"/>
    </row>
    <row r="5" spans="1:16" ht="14.25" customHeight="1" x14ac:dyDescent="0.3">
      <c r="A5" s="9" t="s">
        <v>83</v>
      </c>
      <c r="B5" s="10">
        <v>1.2</v>
      </c>
      <c r="C5" s="11"/>
      <c r="D5" s="11"/>
      <c r="E5" s="11"/>
      <c r="F5" s="11"/>
      <c r="G5" s="11"/>
      <c r="H5" s="11"/>
    </row>
    <row r="6" spans="1:16" ht="14.25" customHeight="1" x14ac:dyDescent="0.3">
      <c r="A6" s="9" t="s">
        <v>84</v>
      </c>
      <c r="B6" s="10">
        <v>1.1499999999999999</v>
      </c>
      <c r="C6" s="11"/>
      <c r="D6" s="11"/>
      <c r="E6" s="11"/>
      <c r="F6" s="11"/>
      <c r="G6" s="11"/>
      <c r="H6" s="11"/>
    </row>
    <row r="7" spans="1:16" ht="14.25" customHeight="1" x14ac:dyDescent="0.3">
      <c r="A7" s="9" t="s">
        <v>85</v>
      </c>
      <c r="B7" s="10">
        <v>1.08</v>
      </c>
      <c r="C7" s="11"/>
      <c r="D7" s="11"/>
      <c r="E7" s="11"/>
      <c r="F7" s="11"/>
      <c r="G7" s="11"/>
      <c r="H7" s="11"/>
    </row>
    <row r="8" spans="1:16" ht="14.25" customHeight="1" x14ac:dyDescent="0.3">
      <c r="A8" s="9" t="s">
        <v>86</v>
      </c>
      <c r="B8" s="10">
        <v>0.95</v>
      </c>
      <c r="C8" s="11"/>
      <c r="D8" s="11"/>
      <c r="E8" s="11"/>
      <c r="F8" s="11"/>
      <c r="G8" s="11"/>
      <c r="H8" s="11"/>
    </row>
    <row r="9" spans="1:16" ht="14.25" customHeight="1" x14ac:dyDescent="0.3">
      <c r="A9" s="11"/>
      <c r="B9" s="11"/>
      <c r="C9" s="11"/>
      <c r="D9" s="11"/>
      <c r="E9" s="11"/>
      <c r="F9" s="11"/>
      <c r="G9" s="11"/>
      <c r="H9" s="11"/>
    </row>
    <row r="10" spans="1:16" ht="14.25" customHeight="1" x14ac:dyDescent="0.3">
      <c r="A10" s="11" t="s">
        <v>87</v>
      </c>
      <c r="B10" s="11"/>
      <c r="C10" s="11"/>
      <c r="D10" s="11"/>
      <c r="E10" s="11"/>
      <c r="F10" s="11"/>
      <c r="G10" s="11"/>
      <c r="H10" s="11"/>
    </row>
    <row r="11" spans="1:16" ht="21.75" customHeight="1" x14ac:dyDescent="0.3">
      <c r="A11" s="5" t="s">
        <v>55</v>
      </c>
      <c r="B11" s="5" t="s">
        <v>3</v>
      </c>
      <c r="C11" s="47"/>
      <c r="D11" s="47"/>
      <c r="E11" s="5" t="s">
        <v>88</v>
      </c>
      <c r="F11" s="47"/>
      <c r="G11" s="47"/>
      <c r="H11" s="47"/>
      <c r="I11" s="48" t="s">
        <v>89</v>
      </c>
      <c r="J11" s="48" t="s">
        <v>90</v>
      </c>
      <c r="K11" s="48" t="s">
        <v>91</v>
      </c>
      <c r="L11" s="48" t="s">
        <v>92</v>
      </c>
      <c r="M11" s="48" t="s">
        <v>93</v>
      </c>
      <c r="N11" s="48" t="s">
        <v>94</v>
      </c>
      <c r="O11" s="48" t="s">
        <v>95</v>
      </c>
      <c r="P11" s="48" t="s">
        <v>96</v>
      </c>
    </row>
    <row r="12" spans="1:16" ht="19.5" customHeight="1" x14ac:dyDescent="0.3">
      <c r="A12" s="7" t="s">
        <v>97</v>
      </c>
      <c r="B12" s="8" t="s">
        <v>62</v>
      </c>
      <c r="C12" s="49"/>
      <c r="D12" s="49"/>
      <c r="E12" s="8">
        <v>0.95</v>
      </c>
      <c r="F12" s="49"/>
      <c r="G12" s="49"/>
      <c r="H12" s="49"/>
      <c r="I12" s="12">
        <v>106497.76</v>
      </c>
      <c r="J12" s="12">
        <v>2.0400000000000001E-2</v>
      </c>
      <c r="K12" s="12">
        <v>0.12</v>
      </c>
      <c r="L12" s="12">
        <v>0.15490000000000001</v>
      </c>
      <c r="M12" s="13">
        <v>80000</v>
      </c>
      <c r="N12" s="14">
        <v>0.55000000000000004</v>
      </c>
      <c r="O12" s="14">
        <v>0.6</v>
      </c>
      <c r="P12" s="14">
        <v>0.65</v>
      </c>
    </row>
    <row r="13" spans="1:16" ht="14.25" customHeight="1" x14ac:dyDescent="0.3">
      <c r="A13" s="9" t="s">
        <v>98</v>
      </c>
      <c r="B13" s="15" t="s">
        <v>63</v>
      </c>
      <c r="C13" s="50"/>
      <c r="D13" s="50"/>
      <c r="E13" s="15">
        <v>0.85</v>
      </c>
      <c r="F13" s="50"/>
      <c r="G13" s="50"/>
      <c r="H13" s="50"/>
      <c r="I13" s="12">
        <v>130766.12</v>
      </c>
      <c r="J13" s="12">
        <v>8.5000000000000006E-3</v>
      </c>
      <c r="K13" s="12">
        <v>0.16250000000000001</v>
      </c>
      <c r="L13" s="12">
        <v>0.15490000000000001</v>
      </c>
      <c r="M13" s="13">
        <v>100000</v>
      </c>
      <c r="N13" s="14">
        <v>0.6</v>
      </c>
      <c r="O13" s="14">
        <v>0.65</v>
      </c>
      <c r="P13" s="14">
        <v>0.7</v>
      </c>
    </row>
    <row r="14" spans="1:16" ht="14.25" customHeight="1" x14ac:dyDescent="0.3">
      <c r="A14" s="9" t="s">
        <v>99</v>
      </c>
      <c r="B14" s="15" t="s">
        <v>64</v>
      </c>
      <c r="C14" s="50"/>
      <c r="D14" s="50"/>
      <c r="E14" s="15">
        <v>0.75</v>
      </c>
      <c r="F14" s="50"/>
      <c r="G14" s="50"/>
      <c r="H14" s="50"/>
      <c r="I14" s="12">
        <v>160768.39000000001</v>
      </c>
      <c r="J14" s="12">
        <v>6.8999999999999999E-3</v>
      </c>
      <c r="K14" s="12">
        <v>0.22</v>
      </c>
      <c r="L14" s="12">
        <v>0.1187</v>
      </c>
      <c r="M14" s="13">
        <v>130000</v>
      </c>
      <c r="N14" s="14">
        <v>0.65</v>
      </c>
      <c r="O14" s="14">
        <v>0.7</v>
      </c>
      <c r="P14" s="14">
        <v>0.75</v>
      </c>
    </row>
    <row r="15" spans="1:16" ht="14.25" customHeight="1" x14ac:dyDescent="0.3">
      <c r="A15" s="9" t="s">
        <v>100</v>
      </c>
      <c r="B15" s="15" t="s">
        <v>65</v>
      </c>
      <c r="C15" s="50"/>
      <c r="D15" s="50"/>
      <c r="E15" s="15">
        <v>0.65</v>
      </c>
      <c r="F15" s="50"/>
      <c r="G15" s="50"/>
      <c r="H15" s="50"/>
      <c r="I15" s="12">
        <v>237546.87</v>
      </c>
      <c r="J15" s="12">
        <v>4.6600000000000003E-2</v>
      </c>
      <c r="K15" s="12">
        <v>0.55000000000000004</v>
      </c>
      <c r="L15" s="12">
        <v>0.12590000000000001</v>
      </c>
      <c r="M15" s="13">
        <v>170000</v>
      </c>
      <c r="N15" s="14">
        <v>0.7</v>
      </c>
      <c r="O15" s="14">
        <v>0.75</v>
      </c>
      <c r="P15" s="14">
        <v>0.8</v>
      </c>
    </row>
    <row r="16" spans="1:16" ht="14.25" customHeight="1" x14ac:dyDescent="0.3">
      <c r="A16" s="9" t="s">
        <v>101</v>
      </c>
      <c r="B16" s="15" t="s">
        <v>66</v>
      </c>
      <c r="C16" s="50"/>
      <c r="D16" s="50"/>
      <c r="E16" s="15">
        <v>0.5</v>
      </c>
      <c r="F16" s="50"/>
      <c r="G16" s="50"/>
      <c r="H16" s="50"/>
      <c r="I16" s="12">
        <v>274100.57</v>
      </c>
      <c r="J16" s="12">
        <v>7.6200000000000004E-2</v>
      </c>
      <c r="K16" s="12">
        <v>0.67244199999999998</v>
      </c>
      <c r="L16" s="12">
        <v>0.28999999999999998</v>
      </c>
      <c r="M16" s="13">
        <v>220000</v>
      </c>
      <c r="N16" s="14">
        <v>0.72</v>
      </c>
      <c r="O16" s="14">
        <v>0.78</v>
      </c>
      <c r="P16" s="14">
        <v>0.85</v>
      </c>
    </row>
    <row r="17" spans="1:16" ht="14.25" customHeight="1" x14ac:dyDescent="0.3">
      <c r="A17" s="9" t="s">
        <v>102</v>
      </c>
      <c r="B17" s="15" t="s">
        <v>67</v>
      </c>
      <c r="C17" s="50"/>
      <c r="D17" s="50"/>
      <c r="E17" s="15">
        <v>0.35</v>
      </c>
      <c r="F17" s="50"/>
      <c r="G17" s="50"/>
      <c r="H17" s="50"/>
      <c r="I17" s="12">
        <v>347545.28</v>
      </c>
      <c r="J17" s="12">
        <v>9.6799999999999997E-2</v>
      </c>
      <c r="K17" s="12">
        <v>0.47910000000000003</v>
      </c>
      <c r="L17" s="12">
        <v>0.36499999999999999</v>
      </c>
      <c r="M17" s="13">
        <v>290000</v>
      </c>
      <c r="N17" s="14">
        <v>0.7</v>
      </c>
      <c r="O17" s="14">
        <v>0.78</v>
      </c>
      <c r="P17" s="14">
        <v>0.88</v>
      </c>
    </row>
    <row r="18" spans="1:16" ht="14.25" customHeight="1" x14ac:dyDescent="0.3">
      <c r="A18" s="9" t="s">
        <v>103</v>
      </c>
      <c r="B18" s="15" t="s">
        <v>104</v>
      </c>
      <c r="C18" s="50"/>
      <c r="D18" s="50"/>
      <c r="E18" s="15">
        <v>0.28000000000000003</v>
      </c>
      <c r="F18" s="50"/>
      <c r="G18" s="50"/>
      <c r="H18" s="50"/>
      <c r="I18" s="12">
        <v>440496.61</v>
      </c>
      <c r="J18" s="12">
        <v>0.10349999999999999</v>
      </c>
      <c r="K18" s="12">
        <v>0.44643699999999997</v>
      </c>
      <c r="L18" s="12">
        <v>0.45550000000000002</v>
      </c>
      <c r="M18" s="13">
        <v>380000</v>
      </c>
      <c r="N18" s="14">
        <v>0.65</v>
      </c>
      <c r="O18" s="14">
        <v>0.78</v>
      </c>
      <c r="P18" s="14">
        <v>0.9</v>
      </c>
    </row>
    <row r="19" spans="1:16" ht="14.25" customHeight="1" x14ac:dyDescent="0.3">
      <c r="A19" s="9" t="s">
        <v>105</v>
      </c>
      <c r="B19" s="15" t="s">
        <v>69</v>
      </c>
      <c r="C19" s="50"/>
      <c r="D19" s="50"/>
      <c r="E19" s="15">
        <v>0.2</v>
      </c>
      <c r="F19" s="50"/>
      <c r="G19" s="50"/>
      <c r="H19" s="50"/>
      <c r="I19" s="12">
        <v>506339.88</v>
      </c>
      <c r="J19" s="12">
        <v>0.22450000000000001</v>
      </c>
      <c r="K19" s="12">
        <v>0.41599999999999998</v>
      </c>
      <c r="L19" s="12">
        <v>0.54600000000000004</v>
      </c>
      <c r="M19" s="13">
        <v>0</v>
      </c>
      <c r="N19" s="14">
        <v>0</v>
      </c>
      <c r="O19" s="14">
        <v>0</v>
      </c>
      <c r="P19" s="14">
        <v>0</v>
      </c>
    </row>
    <row r="20" spans="1:16" ht="14.25" customHeight="1" x14ac:dyDescent="0.3">
      <c r="A20" s="9"/>
      <c r="B20" s="15"/>
      <c r="C20" s="15"/>
      <c r="D20" s="15"/>
      <c r="E20" s="15"/>
      <c r="F20" s="15"/>
      <c r="G20" s="15"/>
      <c r="H20" s="15"/>
    </row>
    <row r="21" spans="1:16" ht="14.25" customHeight="1" x14ac:dyDescent="0.3">
      <c r="A21" s="11"/>
      <c r="B21" s="11"/>
      <c r="C21" s="11"/>
      <c r="D21" s="11"/>
      <c r="E21" s="11"/>
      <c r="F21" s="11"/>
      <c r="G21" s="11"/>
      <c r="H21" s="11"/>
    </row>
    <row r="22" spans="1:16" ht="14.25" customHeight="1" x14ac:dyDescent="0.3">
      <c r="A22" s="11"/>
      <c r="B22" s="11"/>
      <c r="C22" s="11"/>
      <c r="D22" s="11"/>
      <c r="E22" s="11"/>
      <c r="F22" s="11"/>
      <c r="G22" s="11"/>
      <c r="H22" s="11"/>
    </row>
    <row r="23" spans="1:16" ht="21.75" customHeight="1" x14ac:dyDescent="0.3">
      <c r="A23" s="47"/>
      <c r="B23" s="47"/>
      <c r="C23" s="5"/>
      <c r="D23" s="5"/>
      <c r="E23" s="5"/>
      <c r="F23" s="5"/>
      <c r="G23" s="5"/>
      <c r="H23" s="5"/>
    </row>
    <row r="24" spans="1:16" ht="19.5" customHeight="1" x14ac:dyDescent="0.3">
      <c r="A24" s="51"/>
      <c r="B24" s="49"/>
      <c r="C24" s="8"/>
      <c r="D24" s="8"/>
      <c r="E24" s="8"/>
      <c r="F24" s="8"/>
      <c r="G24" s="8"/>
      <c r="H24" s="8"/>
    </row>
    <row r="25" spans="1:16" ht="14.25" customHeight="1" x14ac:dyDescent="0.3">
      <c r="A25" s="52"/>
      <c r="B25" s="50"/>
      <c r="C25" s="11"/>
      <c r="D25" s="11"/>
      <c r="E25" s="11"/>
      <c r="F25" s="11"/>
      <c r="G25" s="11"/>
      <c r="H25" s="11"/>
    </row>
    <row r="26" spans="1:16" ht="14.25" customHeight="1" x14ac:dyDescent="0.3">
      <c r="A26" s="11"/>
      <c r="B26" s="11"/>
      <c r="C26" s="11"/>
      <c r="D26" s="11"/>
      <c r="E26" s="11"/>
      <c r="F26" s="11"/>
      <c r="G26" s="11"/>
      <c r="H26" s="11"/>
    </row>
    <row r="27" spans="1:16" ht="21.75" customHeight="1" x14ac:dyDescent="0.3">
      <c r="A27" s="5"/>
      <c r="B27" s="5"/>
      <c r="C27" s="5"/>
      <c r="D27" s="5"/>
      <c r="E27" s="5"/>
      <c r="F27" s="5"/>
      <c r="G27" s="5"/>
      <c r="H27" s="5"/>
    </row>
    <row r="28" spans="1:16" ht="19.5" customHeight="1" x14ac:dyDescent="0.3">
      <c r="A28" s="7" t="s">
        <v>106</v>
      </c>
      <c r="B28" s="8"/>
      <c r="C28" s="8"/>
      <c r="D28" s="8"/>
      <c r="E28" s="8"/>
      <c r="F28" s="8"/>
      <c r="G28" s="8"/>
      <c r="H28" s="8"/>
    </row>
    <row r="29" spans="1:16" ht="14.25" customHeight="1" x14ac:dyDescent="0.3">
      <c r="A29" s="9" t="s">
        <v>107</v>
      </c>
      <c r="B29" s="15" t="s">
        <v>35</v>
      </c>
      <c r="C29" s="15" t="s">
        <v>41</v>
      </c>
      <c r="D29" s="15"/>
      <c r="E29" s="15"/>
      <c r="F29" s="11"/>
      <c r="G29" s="11"/>
      <c r="H29" s="11"/>
    </row>
    <row r="30" spans="1:16" ht="14.25" customHeight="1" x14ac:dyDescent="0.3">
      <c r="A30" s="16">
        <v>1</v>
      </c>
      <c r="B30" s="6">
        <v>-0.08</v>
      </c>
      <c r="C30" s="6">
        <v>-0.4</v>
      </c>
    </row>
    <row r="31" spans="1:16" ht="14.25" customHeight="1" x14ac:dyDescent="0.3">
      <c r="A31" s="17">
        <v>2</v>
      </c>
      <c r="B31" s="17">
        <v>-0.04</v>
      </c>
      <c r="C31" s="17">
        <v>-0.2</v>
      </c>
      <c r="D31" s="17"/>
      <c r="E31" s="17"/>
      <c r="F31" s="17"/>
      <c r="G31" s="17"/>
      <c r="H31" s="17"/>
    </row>
    <row r="32" spans="1:16" ht="14.25" customHeight="1" x14ac:dyDescent="0.3">
      <c r="A32" s="18">
        <v>3</v>
      </c>
      <c r="B32" s="18">
        <v>0</v>
      </c>
      <c r="C32" s="18">
        <v>0</v>
      </c>
      <c r="D32" s="18"/>
      <c r="E32" s="18"/>
      <c r="F32" s="18"/>
      <c r="G32" s="18"/>
      <c r="H32" s="18"/>
    </row>
    <row r="33" spans="1:8" ht="14.25" customHeight="1" x14ac:dyDescent="0.3">
      <c r="A33" s="6">
        <v>4</v>
      </c>
      <c r="B33" s="6">
        <v>0.05</v>
      </c>
      <c r="C33" s="6">
        <v>0.25</v>
      </c>
    </row>
    <row r="34" spans="1:8" ht="14.25" customHeight="1" x14ac:dyDescent="0.3">
      <c r="A34" s="19">
        <v>5</v>
      </c>
      <c r="B34" s="6">
        <v>0.1</v>
      </c>
      <c r="C34" s="6">
        <v>0.55000000000000004</v>
      </c>
    </row>
    <row r="35" spans="1:8" ht="14.4" customHeight="1" x14ac:dyDescent="0.3"/>
    <row r="36" spans="1:8" ht="14.25" customHeight="1" x14ac:dyDescent="0.3">
      <c r="A36" s="6" t="s">
        <v>108</v>
      </c>
      <c r="B36" s="14"/>
    </row>
    <row r="37" spans="1:8" ht="14.25" customHeight="1" x14ac:dyDescent="0.3">
      <c r="A37" s="6" t="s">
        <v>109</v>
      </c>
      <c r="B37" s="14">
        <f>POWER(1.04,0.5)</f>
        <v>1.019803902718557</v>
      </c>
    </row>
    <row r="38" spans="1:8" ht="14.25" customHeight="1" x14ac:dyDescent="0.3">
      <c r="A38" s="6" t="s">
        <v>110</v>
      </c>
      <c r="B38" s="14">
        <v>0.25</v>
      </c>
    </row>
    <row r="39" spans="1:8" ht="14.25" customHeight="1" x14ac:dyDescent="0.3">
      <c r="B39" s="14"/>
    </row>
    <row r="40" spans="1:8" ht="14.25" customHeight="1" x14ac:dyDescent="0.3">
      <c r="A40" s="6" t="s">
        <v>111</v>
      </c>
      <c r="B40" s="14"/>
    </row>
    <row r="41" spans="1:8" ht="14.25" customHeight="1" x14ac:dyDescent="0.3">
      <c r="A41" s="6" t="s">
        <v>56</v>
      </c>
      <c r="B41" s="6" t="s">
        <v>57</v>
      </c>
      <c r="C41" s="6" t="s">
        <v>58</v>
      </c>
      <c r="D41" t="s">
        <v>59</v>
      </c>
      <c r="E41" t="s">
        <v>60</v>
      </c>
    </row>
    <row r="42" spans="1:8" ht="14.25" customHeight="1" x14ac:dyDescent="0.3">
      <c r="A42" s="19">
        <v>-1.282</v>
      </c>
      <c r="B42" s="6">
        <v>-0.67400000000000004</v>
      </c>
      <c r="C42" s="6">
        <v>0</v>
      </c>
      <c r="D42">
        <v>0.67400000000000004</v>
      </c>
      <c r="E42">
        <v>1.282</v>
      </c>
    </row>
    <row r="43" spans="1:8" ht="14.4" customHeight="1" x14ac:dyDescent="0.3"/>
    <row r="44" spans="1:8" ht="14.25" customHeight="1" x14ac:dyDescent="0.3">
      <c r="A44" s="14" t="s">
        <v>112</v>
      </c>
      <c r="B44" s="14"/>
      <c r="C44" s="14"/>
      <c r="D44" s="14"/>
      <c r="E44" s="14"/>
      <c r="F44" s="14"/>
      <c r="G44" s="14"/>
      <c r="H44" s="14"/>
    </row>
    <row r="45" spans="1:8" ht="14.25" customHeight="1" x14ac:dyDescent="0.3">
      <c r="A45" s="6" t="s">
        <v>113</v>
      </c>
      <c r="B45" s="6">
        <v>1.8</v>
      </c>
    </row>
    <row r="46" spans="1:8" ht="14.4" customHeight="1" x14ac:dyDescent="0.3"/>
    <row r="47" spans="1:8" ht="14.25" customHeight="1" x14ac:dyDescent="0.3">
      <c r="A47" s="6" t="s">
        <v>114</v>
      </c>
    </row>
    <row r="48" spans="1:8" ht="14.25" customHeight="1" x14ac:dyDescent="0.3">
      <c r="A48" s="6" t="s">
        <v>115</v>
      </c>
      <c r="B48" s="6" t="s">
        <v>116</v>
      </c>
    </row>
    <row r="49" spans="1:8" ht="14.25" customHeight="1" x14ac:dyDescent="0.3">
      <c r="A49" s="6" t="s">
        <v>117</v>
      </c>
      <c r="B49" s="6">
        <v>3</v>
      </c>
    </row>
    <row r="50" spans="1:8" ht="14.25" customHeight="1" x14ac:dyDescent="0.3">
      <c r="A50" s="6" t="s">
        <v>118</v>
      </c>
      <c r="B50" s="6">
        <v>1.05</v>
      </c>
    </row>
    <row r="51" spans="1:8" ht="14.25" customHeight="1" x14ac:dyDescent="0.3">
      <c r="A51" s="6" t="s">
        <v>119</v>
      </c>
      <c r="B51" s="6">
        <v>10</v>
      </c>
    </row>
    <row r="52" spans="1:8" ht="14.25" customHeight="1" x14ac:dyDescent="0.3">
      <c r="A52" s="6" t="s">
        <v>120</v>
      </c>
      <c r="B52" s="6">
        <v>1.2</v>
      </c>
    </row>
    <row r="53" spans="1:8" ht="14.4" customHeight="1" x14ac:dyDescent="0.3"/>
    <row r="54" spans="1:8" ht="14.4" customHeight="1" x14ac:dyDescent="0.3"/>
    <row r="55" spans="1:8" ht="14.4" customHeight="1" x14ac:dyDescent="0.3"/>
    <row r="56" spans="1:8" ht="14.4" customHeight="1" x14ac:dyDescent="0.3"/>
    <row r="57" spans="1:8" ht="14.4" customHeight="1" x14ac:dyDescent="0.3"/>
    <row r="58" spans="1:8" ht="14.4" customHeight="1" x14ac:dyDescent="0.3"/>
    <row r="59" spans="1:8" ht="14.4" customHeight="1" x14ac:dyDescent="0.3"/>
    <row r="60" spans="1:8" ht="14.25" customHeight="1" x14ac:dyDescent="0.3">
      <c r="A60" s="53" t="s">
        <v>121</v>
      </c>
    </row>
    <row r="61" spans="1:8" ht="14.25" customHeight="1" x14ac:dyDescent="0.3">
      <c r="A61" s="6" t="s">
        <v>55</v>
      </c>
      <c r="B61" s="6" t="s">
        <v>97</v>
      </c>
      <c r="C61" s="6" t="s">
        <v>98</v>
      </c>
      <c r="D61" t="s">
        <v>99</v>
      </c>
      <c r="E61" t="s">
        <v>100</v>
      </c>
      <c r="F61" t="s">
        <v>101</v>
      </c>
      <c r="G61" s="6" t="s">
        <v>102</v>
      </c>
      <c r="H61" t="s">
        <v>103</v>
      </c>
    </row>
    <row r="62" spans="1:8" ht="14.25" customHeight="1" x14ac:dyDescent="0.3">
      <c r="A62" s="6" t="s">
        <v>122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</row>
    <row r="63" spans="1:8" ht="14.25" customHeight="1" x14ac:dyDescent="0.3">
      <c r="A63" s="6" t="s">
        <v>43</v>
      </c>
      <c r="B63" s="20">
        <v>0.05</v>
      </c>
      <c r="C63" s="20">
        <v>0.1</v>
      </c>
      <c r="D63" s="20">
        <v>0.15</v>
      </c>
      <c r="E63" s="20">
        <v>0.2</v>
      </c>
      <c r="F63" s="20">
        <v>0.3</v>
      </c>
      <c r="G63" s="20">
        <v>0.4</v>
      </c>
      <c r="H63" s="20">
        <v>1.67</v>
      </c>
    </row>
    <row r="64" spans="1:8" ht="14.25" customHeight="1" x14ac:dyDescent="0.3">
      <c r="A64" s="6" t="s">
        <v>123</v>
      </c>
      <c r="B64" s="20">
        <v>0.05</v>
      </c>
      <c r="C64" s="20">
        <v>0.15</v>
      </c>
      <c r="D64" s="20">
        <v>0.25</v>
      </c>
      <c r="E64" s="20">
        <v>0.35</v>
      </c>
      <c r="F64" s="20">
        <v>0.5</v>
      </c>
      <c r="G64" s="20">
        <v>0.8</v>
      </c>
      <c r="H64" s="20">
        <v>2.19</v>
      </c>
    </row>
    <row r="65" spans="1:2" ht="14.4" customHeight="1" x14ac:dyDescent="0.3"/>
    <row r="66" spans="1:2" ht="14.25" customHeight="1" x14ac:dyDescent="0.3">
      <c r="A66" s="6" t="s">
        <v>124</v>
      </c>
      <c r="B66" s="14">
        <v>0.35</v>
      </c>
    </row>
    <row r="67" spans="1:2" ht="14.4" customHeight="1" x14ac:dyDescent="0.3"/>
    <row r="68" spans="1:2" ht="14.25" customHeight="1" x14ac:dyDescent="0.3">
      <c r="A68" s="53" t="s">
        <v>125</v>
      </c>
    </row>
    <row r="69" spans="1:2" ht="14.25" customHeight="1" x14ac:dyDescent="0.3">
      <c r="A69" s="6" t="s">
        <v>122</v>
      </c>
    </row>
    <row r="70" spans="1:2" ht="14.25" customHeight="1" x14ac:dyDescent="0.3">
      <c r="A70" s="6" t="s">
        <v>43</v>
      </c>
    </row>
    <row r="71" spans="1:2" ht="14.25" customHeight="1" x14ac:dyDescent="0.3">
      <c r="A71" s="6" t="s">
        <v>123</v>
      </c>
    </row>
  </sheetData>
  <sheetProtection password="2288" sheet="1" objects="1" scenarios="1" formatCells="0" formatColumns="0" formatRows="0" sort="0" autoFilter="0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About</vt:lpstr>
      <vt:lpstr>EFS</vt:lpstr>
      <vt:lpstr>EFS!Print_Area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MOA Pay Predictor 2026 v1.0</dc:title>
  <dc:subject>Compensation model for investment office roles at endowments and foundations: base salary, target, realized and maximum total compensation by role, level, assets, complexity and location</dc:subject>
  <dc:creator>Michael Oak Advisors</dc:creator>
  <cp:keywords>compensation; investment office; Michael Oak Advisors; data.michaeloak.com</cp:keywords>
  <dc:description>MOA Pay Predictor 2026 v1.0 — https://data.michaeloak.com — vintage 2026-06-30</dc:description>
  <cp:lastModifiedBy>Michael Oak Advisors</cp:lastModifiedBy>
  <cp:revision>0</cp:revision>
  <cp:lastPrinted>2026-03-13T22:30:23Z</cp:lastPrinted>
  <dcterms:created xsi:type="dcterms:W3CDTF">2026-06-30T00:00:00Z</dcterms:created>
  <dcterms:modified xsi:type="dcterms:W3CDTF">2026-06-30T00:00:00Z</dcterms:modified>
  <dc:language>en-US</dc:language>
</cp:coreProperties>
</file>